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anos\Documents\REVIMAT dossiers\Redevancesmines\Tableaux redevances\Redevances 2014-2023\"/>
    </mc:Choice>
  </mc:AlternateContent>
  <bookViews>
    <workbookView xWindow="0" yWindow="0" windowWidth="28800" windowHeight="12435"/>
  </bookViews>
  <sheets>
    <sheet name="Feuil1" sheetId="1" r:id="rId1"/>
    <sheet name="Feuil2" sheetId="2" r:id="rId2"/>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73" i="1" l="1"/>
  <c r="Q74" i="1"/>
  <c r="AN196" i="1"/>
  <c r="AN126" i="1"/>
  <c r="S309" i="1" l="1"/>
  <c r="P309" i="1"/>
  <c r="P310" i="1"/>
  <c r="E31" i="1" l="1"/>
  <c r="Q309" i="1"/>
  <c r="Q497" i="1"/>
  <c r="Q244" i="1"/>
  <c r="Q438" i="1"/>
  <c r="Q426" i="1"/>
  <c r="Q304" i="1"/>
  <c r="Q292" i="1"/>
  <c r="Q402" i="1"/>
  <c r="Q167" i="1"/>
  <c r="Q378" i="1"/>
  <c r="Q390" i="1"/>
  <c r="Q374" i="1"/>
  <c r="Q203" i="1"/>
  <c r="Q191" i="1"/>
  <c r="Q179" i="1"/>
  <c r="S351" i="1"/>
  <c r="Q351" i="1" s="1"/>
  <c r="Q268" i="1"/>
  <c r="Q272" i="1"/>
  <c r="Q273" i="1"/>
  <c r="Q327" i="1"/>
  <c r="Q339" i="1"/>
  <c r="P485" i="1"/>
  <c r="S485" i="1"/>
  <c r="S473" i="1"/>
  <c r="P473" i="1"/>
  <c r="S155" i="1"/>
  <c r="P155" i="1"/>
  <c r="S449" i="1"/>
  <c r="P449" i="1"/>
  <c r="S137" i="1"/>
  <c r="S138" i="1" s="1"/>
  <c r="P137" i="1"/>
  <c r="P138" i="1" s="1"/>
  <c r="S134" i="1"/>
  <c r="S135" i="1" s="1"/>
  <c r="P134" i="1"/>
  <c r="S122" i="1"/>
  <c r="P122" i="1"/>
  <c r="S110" i="1"/>
  <c r="P110" i="1"/>
  <c r="S86" i="1"/>
  <c r="P86" i="1"/>
  <c r="G31" i="1"/>
  <c r="F31" i="1"/>
  <c r="J31" i="1" l="1"/>
  <c r="K31" i="1"/>
  <c r="Q485" i="1"/>
  <c r="Q473" i="1"/>
  <c r="Q155" i="1"/>
  <c r="Q449" i="1"/>
  <c r="Q110" i="1"/>
  <c r="Q137" i="1"/>
  <c r="Q122" i="1"/>
  <c r="Q86" i="1"/>
  <c r="H31" i="1"/>
  <c r="F34" i="1"/>
  <c r="F35" i="1"/>
  <c r="F36" i="1"/>
  <c r="F37" i="1"/>
  <c r="F38" i="1"/>
  <c r="F40" i="1"/>
  <c r="F33" i="1"/>
  <c r="F32" i="1"/>
  <c r="G33" i="1"/>
  <c r="G34" i="1"/>
  <c r="G35" i="1"/>
  <c r="G36" i="1"/>
  <c r="G37" i="1"/>
  <c r="G38" i="1"/>
  <c r="G40" i="1"/>
  <c r="G32" i="1"/>
  <c r="H32" i="1" s="1"/>
  <c r="S206" i="1"/>
  <c r="AM196" i="1"/>
  <c r="H73" i="1" s="1"/>
  <c r="I73" i="1" s="1"/>
  <c r="AL196" i="1"/>
  <c r="AM176" i="1"/>
  <c r="E73" i="1" s="1"/>
  <c r="F73" i="1" s="1"/>
  <c r="R73" i="1" s="1"/>
  <c r="T73" i="1" s="1"/>
  <c r="AL176" i="1"/>
  <c r="E74" i="1" s="1"/>
  <c r="F74" i="1" s="1"/>
  <c r="AM155" i="1"/>
  <c r="AL155" i="1"/>
  <c r="E462" i="1" s="1"/>
  <c r="F462" i="1" s="1"/>
  <c r="AM126" i="1"/>
  <c r="AL126" i="1"/>
  <c r="E486" i="1" s="1"/>
  <c r="F486" i="1" s="1"/>
  <c r="R486" i="1" s="1"/>
  <c r="AM105" i="1"/>
  <c r="AL105" i="1"/>
  <c r="E450" i="1" s="1"/>
  <c r="F450" i="1" s="1"/>
  <c r="AM80" i="1"/>
  <c r="H123" i="1" l="1"/>
  <c r="I123" i="1" s="1"/>
  <c r="H74" i="1"/>
  <c r="I74" i="1" s="1"/>
  <c r="R74" i="1" s="1"/>
  <c r="T74" i="1" s="1"/>
  <c r="I32" i="1" s="1"/>
  <c r="E244" i="1"/>
  <c r="F244" i="1" s="1"/>
  <c r="R244" i="1" s="1"/>
  <c r="T244" i="1" s="1"/>
  <c r="E309" i="1"/>
  <c r="F309" i="1" s="1"/>
  <c r="H244" i="1"/>
  <c r="I244" i="1" s="1"/>
  <c r="H309" i="1"/>
  <c r="I309" i="1" s="1"/>
  <c r="L31" i="1"/>
  <c r="E293" i="1"/>
  <c r="F293" i="1" s="1"/>
  <c r="R293" i="1" s="1"/>
  <c r="T293" i="1" s="1"/>
  <c r="E304" i="1"/>
  <c r="F304" i="1" s="1"/>
  <c r="R304" i="1" s="1"/>
  <c r="T304" i="1" s="1"/>
  <c r="E167" i="1"/>
  <c r="F167" i="1" s="1"/>
  <c r="E292" i="1"/>
  <c r="F292" i="1" s="1"/>
  <c r="R292" i="1" s="1"/>
  <c r="T292" i="1" s="1"/>
  <c r="H155" i="1"/>
  <c r="I155" i="1" s="1"/>
  <c r="H167" i="1"/>
  <c r="I167" i="1" s="1"/>
  <c r="E203" i="1"/>
  <c r="F203" i="1" s="1"/>
  <c r="R203" i="1" s="1"/>
  <c r="T203" i="1" s="1"/>
  <c r="E179" i="1"/>
  <c r="F179" i="1" s="1"/>
  <c r="R179" i="1" s="1"/>
  <c r="T179" i="1" s="1"/>
  <c r="E191" i="1"/>
  <c r="F191" i="1" s="1"/>
  <c r="R191" i="1" s="1"/>
  <c r="T191" i="1" s="1"/>
  <c r="H449" i="1"/>
  <c r="I449" i="1" s="1"/>
  <c r="H351" i="1"/>
  <c r="I351" i="1" s="1"/>
  <c r="E449" i="1"/>
  <c r="F449" i="1" s="1"/>
  <c r="E351" i="1"/>
  <c r="F351" i="1" s="1"/>
  <c r="E155" i="1"/>
  <c r="F155" i="1" s="1"/>
  <c r="E268" i="1"/>
  <c r="F268" i="1" s="1"/>
  <c r="R268" i="1" s="1"/>
  <c r="T268" i="1" s="1"/>
  <c r="E485" i="1"/>
  <c r="F485" i="1" s="1"/>
  <c r="R485" i="1" s="1"/>
  <c r="T485" i="1" s="1"/>
  <c r="E339" i="1"/>
  <c r="F339" i="1" s="1"/>
  <c r="R339" i="1" s="1"/>
  <c r="T339" i="1" s="1"/>
  <c r="E327" i="1"/>
  <c r="F327" i="1" s="1"/>
  <c r="R327" i="1" s="1"/>
  <c r="T327" i="1" s="1"/>
  <c r="H134" i="1"/>
  <c r="I134" i="1" s="1"/>
  <c r="H137" i="1"/>
  <c r="I137" i="1" s="1"/>
  <c r="E134" i="1"/>
  <c r="F134" i="1" s="1"/>
  <c r="E137" i="1"/>
  <c r="F137" i="1" s="1"/>
  <c r="E110" i="1"/>
  <c r="F110" i="1" s="1"/>
  <c r="E122" i="1"/>
  <c r="F122" i="1" s="1"/>
  <c r="N86" i="1"/>
  <c r="O86" i="1" s="1"/>
  <c r="N122" i="1"/>
  <c r="O122" i="1" s="1"/>
  <c r="H110" i="1"/>
  <c r="I110" i="1" s="1"/>
  <c r="H122" i="1"/>
  <c r="I122" i="1" s="1"/>
  <c r="K86" i="1"/>
  <c r="L86" i="1" s="1"/>
  <c r="K122" i="1"/>
  <c r="L122" i="1" s="1"/>
  <c r="H40" i="1"/>
  <c r="E86" i="1"/>
  <c r="F86" i="1" s="1"/>
  <c r="H86" i="1"/>
  <c r="I86" i="1" s="1"/>
  <c r="H34" i="1"/>
  <c r="H38" i="1"/>
  <c r="H37" i="1"/>
  <c r="H35" i="1"/>
  <c r="H36" i="1"/>
  <c r="H87" i="1"/>
  <c r="I87" i="1" s="1"/>
  <c r="E123" i="1"/>
  <c r="F123" i="1" s="1"/>
  <c r="R123" i="1" s="1"/>
  <c r="E352" i="1"/>
  <c r="F352" i="1" s="1"/>
  <c r="H33" i="1"/>
  <c r="E192" i="1"/>
  <c r="F192" i="1" s="1"/>
  <c r="E204" i="1"/>
  <c r="E111" i="1"/>
  <c r="F111" i="1" s="1"/>
  <c r="H310" i="1"/>
  <c r="I310" i="1" s="1"/>
  <c r="E156" i="1"/>
  <c r="F156" i="1" s="1"/>
  <c r="E168" i="1"/>
  <c r="F168" i="1" s="1"/>
  <c r="E87" i="1"/>
  <c r="F87" i="1" s="1"/>
  <c r="E245" i="1"/>
  <c r="F245" i="1" s="1"/>
  <c r="K87" i="1"/>
  <c r="L87" i="1" s="1"/>
  <c r="H111" i="1"/>
  <c r="I111" i="1" s="1"/>
  <c r="H168" i="1"/>
  <c r="I168" i="1" s="1"/>
  <c r="E305" i="1"/>
  <c r="F305" i="1" s="1"/>
  <c r="R305" i="1" s="1"/>
  <c r="T305" i="1" s="1"/>
  <c r="E328" i="1"/>
  <c r="F328" i="1" s="1"/>
  <c r="R328" i="1" s="1"/>
  <c r="T328" i="1" s="1"/>
  <c r="H245" i="1"/>
  <c r="I245" i="1" s="1"/>
  <c r="N462" i="1"/>
  <c r="O462" i="1" s="1"/>
  <c r="H156" i="1"/>
  <c r="I156" i="1" s="1"/>
  <c r="E310" i="1"/>
  <c r="F310" i="1" s="1"/>
  <c r="E340" i="1"/>
  <c r="F340" i="1" s="1"/>
  <c r="R340" i="1" s="1"/>
  <c r="T340" i="1" s="1"/>
  <c r="E180" i="1"/>
  <c r="F180" i="1" s="1"/>
  <c r="R180" i="1" s="1"/>
  <c r="T180" i="1" s="1"/>
  <c r="AL80" i="1"/>
  <c r="S486" i="1"/>
  <c r="T486" i="1" s="1"/>
  <c r="P486" i="1"/>
  <c r="S474" i="1"/>
  <c r="P474" i="1"/>
  <c r="V462" i="1"/>
  <c r="S462" i="1"/>
  <c r="S450" i="1"/>
  <c r="P450" i="1"/>
  <c r="S310" i="1"/>
  <c r="S156" i="1"/>
  <c r="P156" i="1"/>
  <c r="P123" i="1"/>
  <c r="S123" i="1"/>
  <c r="P111" i="1"/>
  <c r="S111" i="1"/>
  <c r="S87" i="1"/>
  <c r="P87" i="1"/>
  <c r="P254" i="1"/>
  <c r="S266" i="1"/>
  <c r="P266" i="1"/>
  <c r="S278" i="1"/>
  <c r="P278" i="1"/>
  <c r="S290" i="1"/>
  <c r="P290" i="1"/>
  <c r="S302" i="1"/>
  <c r="P302" i="1"/>
  <c r="S323" i="1"/>
  <c r="P323" i="1"/>
  <c r="S349" i="1"/>
  <c r="P349" i="1"/>
  <c r="S361" i="1"/>
  <c r="P361" i="1"/>
  <c r="P376" i="1"/>
  <c r="S363" i="1"/>
  <c r="P363" i="1"/>
  <c r="P372" i="1" s="1"/>
  <c r="D363" i="1"/>
  <c r="S400" i="1"/>
  <c r="P400" i="1"/>
  <c r="S388" i="1"/>
  <c r="P388" i="1"/>
  <c r="Q379" i="1"/>
  <c r="Q352" i="1"/>
  <c r="Q340" i="1"/>
  <c r="Q328" i="1"/>
  <c r="Q391" i="1"/>
  <c r="Q403" i="1"/>
  <c r="Q404" i="1"/>
  <c r="P436" i="1"/>
  <c r="S436" i="1"/>
  <c r="Q427" i="1"/>
  <c r="P447" i="1"/>
  <c r="S447" i="1"/>
  <c r="Q439" i="1"/>
  <c r="S307" i="1"/>
  <c r="P307" i="1"/>
  <c r="Q305" i="1"/>
  <c r="Q293" i="1"/>
  <c r="S254" i="1"/>
  <c r="P242" i="1"/>
  <c r="S242" i="1"/>
  <c r="Q245" i="1"/>
  <c r="P206" i="1"/>
  <c r="S201" i="1"/>
  <c r="P201" i="1"/>
  <c r="S189" i="1"/>
  <c r="P189" i="1"/>
  <c r="P177" i="1"/>
  <c r="S177" i="1"/>
  <c r="Q168" i="1"/>
  <c r="Q204" i="1"/>
  <c r="Q192" i="1"/>
  <c r="Q180" i="1"/>
  <c r="Q75" i="1"/>
  <c r="R309" i="1" l="1"/>
  <c r="T309" i="1" s="1"/>
  <c r="R155" i="1"/>
  <c r="T155" i="1" s="1"/>
  <c r="R167" i="1"/>
  <c r="T167" i="1" s="1"/>
  <c r="R192" i="1"/>
  <c r="T192" i="1" s="1"/>
  <c r="R351" i="1"/>
  <c r="T351" i="1" s="1"/>
  <c r="F204" i="1"/>
  <c r="R204" i="1" s="1"/>
  <c r="T204" i="1" s="1"/>
  <c r="R137" i="1"/>
  <c r="T137" i="1" s="1"/>
  <c r="R134" i="1"/>
  <c r="T134" i="1" s="1"/>
  <c r="Q450" i="1"/>
  <c r="R122" i="1"/>
  <c r="T122" i="1" s="1"/>
  <c r="R110" i="1"/>
  <c r="T110" i="1" s="1"/>
  <c r="Q111" i="1"/>
  <c r="I31" i="1"/>
  <c r="R86" i="1"/>
  <c r="T86" i="1" s="1"/>
  <c r="R310" i="1"/>
  <c r="T310" i="1" s="1"/>
  <c r="R156" i="1"/>
  <c r="T156" i="1" s="1"/>
  <c r="R168" i="1"/>
  <c r="T168" i="1" s="1"/>
  <c r="T123" i="1"/>
  <c r="R111" i="1"/>
  <c r="T111" i="1" s="1"/>
  <c r="J32" i="1"/>
  <c r="Q486" i="1"/>
  <c r="R245" i="1"/>
  <c r="T245" i="1" s="1"/>
  <c r="K32" i="1"/>
  <c r="H352" i="1"/>
  <c r="I352" i="1" s="1"/>
  <c r="R352" i="1" s="1"/>
  <c r="T352" i="1" s="1"/>
  <c r="N87" i="1"/>
  <c r="O87" i="1" s="1"/>
  <c r="R87" i="1" s="1"/>
  <c r="T87" i="1" s="1"/>
  <c r="H462" i="1"/>
  <c r="I462" i="1" s="1"/>
  <c r="U462" i="1" s="1"/>
  <c r="W462" i="1" s="1"/>
  <c r="Q156" i="1"/>
  <c r="Q363" i="1"/>
  <c r="Q87" i="1"/>
  <c r="H450" i="1"/>
  <c r="I450" i="1" s="1"/>
  <c r="Q474" i="1"/>
  <c r="T462" i="1"/>
  <c r="Q310" i="1"/>
  <c r="Q123" i="1"/>
  <c r="Q375" i="1"/>
  <c r="S152" i="1"/>
  <c r="S164" i="1"/>
  <c r="S163" i="1"/>
  <c r="S162" i="1"/>
  <c r="S161" i="1"/>
  <c r="S160" i="1"/>
  <c r="S159" i="1"/>
  <c r="S158" i="1"/>
  <c r="P476" i="1"/>
  <c r="S476" i="1"/>
  <c r="Q499" i="1"/>
  <c r="Q428" i="1"/>
  <c r="M31" i="1" l="1"/>
  <c r="E32" i="1"/>
  <c r="M32" i="1"/>
  <c r="L32" i="1"/>
  <c r="Q392" i="1"/>
  <c r="Q364" i="1"/>
  <c r="Q380" i="1"/>
  <c r="Q353" i="1"/>
  <c r="Q341" i="1"/>
  <c r="Q329" i="1"/>
  <c r="Q321" i="1"/>
  <c r="S312" i="1"/>
  <c r="Q306" i="1"/>
  <c r="Q294" i="1"/>
  <c r="P312" i="1"/>
  <c r="Q246" i="1"/>
  <c r="Q205" i="1"/>
  <c r="Q181" i="1"/>
  <c r="Q193" i="1"/>
  <c r="Q169" i="1"/>
  <c r="Q312" i="1" l="1"/>
  <c r="AK155" i="1"/>
  <c r="AK105" i="1"/>
  <c r="AK80" i="1"/>
  <c r="H463" i="1" s="1"/>
  <c r="AC45" i="1"/>
  <c r="P311" i="1" s="1"/>
  <c r="N88" i="1" l="1"/>
  <c r="O88" i="1" s="1"/>
  <c r="I463" i="1"/>
  <c r="H451" i="1"/>
  <c r="I451" i="1" s="1"/>
  <c r="H353" i="1"/>
  <c r="I353" i="1" s="1"/>
  <c r="S311" i="1"/>
  <c r="P487" i="1"/>
  <c r="P112" i="1"/>
  <c r="S475" i="1"/>
  <c r="P451" i="1"/>
  <c r="S157" i="1"/>
  <c r="S165" i="1" s="1"/>
  <c r="S451" i="1"/>
  <c r="S463" i="1"/>
  <c r="S487" i="1"/>
  <c r="P475" i="1"/>
  <c r="E353" i="1"/>
  <c r="F353" i="1" s="1"/>
  <c r="E451" i="1"/>
  <c r="F451" i="1" s="1"/>
  <c r="K88" i="1"/>
  <c r="L88" i="1" s="1"/>
  <c r="E463" i="1"/>
  <c r="F463" i="1" s="1"/>
  <c r="P88" i="1"/>
  <c r="S112" i="1"/>
  <c r="S88" i="1"/>
  <c r="S124" i="1"/>
  <c r="P157" i="1"/>
  <c r="P124" i="1"/>
  <c r="Q322" i="1"/>
  <c r="S488" i="1"/>
  <c r="P488" i="1"/>
  <c r="Q476" i="1"/>
  <c r="V464" i="1"/>
  <c r="S452" i="1"/>
  <c r="P452" i="1"/>
  <c r="S464" i="1"/>
  <c r="L452" i="1"/>
  <c r="Q440" i="1"/>
  <c r="Q429" i="1"/>
  <c r="Q405" i="1"/>
  <c r="F405" i="1"/>
  <c r="R405" i="1" s="1"/>
  <c r="Q393" i="1"/>
  <c r="Q381" i="1"/>
  <c r="Q365" i="1"/>
  <c r="Q354" i="1"/>
  <c r="Q342" i="1"/>
  <c r="AK126" i="1"/>
  <c r="E487" i="1" s="1"/>
  <c r="F487" i="1" s="1"/>
  <c r="R487" i="1" s="1"/>
  <c r="Q330" i="1"/>
  <c r="Q295" i="1"/>
  <c r="Q194" i="1"/>
  <c r="Q182" i="1"/>
  <c r="Q170" i="1"/>
  <c r="P158" i="1"/>
  <c r="P89" i="1"/>
  <c r="P113" i="1"/>
  <c r="P125" i="1"/>
  <c r="S125" i="1"/>
  <c r="S89" i="1"/>
  <c r="Q76" i="1"/>
  <c r="AK196" i="1"/>
  <c r="N463" i="1" s="1"/>
  <c r="O463" i="1" s="1"/>
  <c r="AK176" i="1"/>
  <c r="Q463" i="1" s="1"/>
  <c r="R463" i="1" s="1"/>
  <c r="C34" i="1" l="1"/>
  <c r="K34" i="1"/>
  <c r="J34" i="1"/>
  <c r="J33" i="1"/>
  <c r="K33" i="1"/>
  <c r="Q311" i="1"/>
  <c r="R353" i="1"/>
  <c r="T353" i="1" s="1"/>
  <c r="T463" i="1"/>
  <c r="Q124" i="1"/>
  <c r="Q451" i="1"/>
  <c r="T487" i="1"/>
  <c r="Q487" i="1"/>
  <c r="Q475" i="1"/>
  <c r="U463" i="1"/>
  <c r="W463" i="1" s="1"/>
  <c r="E306" i="1"/>
  <c r="F306" i="1" s="1"/>
  <c r="R306" i="1" s="1"/>
  <c r="T306" i="1" s="1"/>
  <c r="E321" i="1"/>
  <c r="F321" i="1" s="1"/>
  <c r="E311" i="1"/>
  <c r="F311" i="1" s="1"/>
  <c r="Q88" i="1"/>
  <c r="H246" i="1"/>
  <c r="I246" i="1" s="1"/>
  <c r="H311" i="1"/>
  <c r="I311" i="1" s="1"/>
  <c r="H321" i="1"/>
  <c r="I321" i="1" s="1"/>
  <c r="E329" i="1"/>
  <c r="F329" i="1" s="1"/>
  <c r="R329" i="1" s="1"/>
  <c r="T329" i="1" s="1"/>
  <c r="E341" i="1"/>
  <c r="F341" i="1" s="1"/>
  <c r="R341" i="1" s="1"/>
  <c r="T341" i="1" s="1"/>
  <c r="E246" i="1"/>
  <c r="F246" i="1" s="1"/>
  <c r="E294" i="1"/>
  <c r="F294" i="1" s="1"/>
  <c r="R294" i="1" s="1"/>
  <c r="T294" i="1" s="1"/>
  <c r="E181" i="1"/>
  <c r="F181" i="1" s="1"/>
  <c r="R181" i="1" s="1"/>
  <c r="T181" i="1" s="1"/>
  <c r="E169" i="1"/>
  <c r="F169" i="1" s="1"/>
  <c r="E205" i="1"/>
  <c r="F205" i="1" s="1"/>
  <c r="R205" i="1" s="1"/>
  <c r="T205" i="1" s="1"/>
  <c r="Q158" i="1"/>
  <c r="E157" i="1"/>
  <c r="F157" i="1" s="1"/>
  <c r="E124" i="1"/>
  <c r="F124" i="1" s="1"/>
  <c r="E75" i="1"/>
  <c r="F75" i="1" s="1"/>
  <c r="E88" i="1"/>
  <c r="F88" i="1" s="1"/>
  <c r="E193" i="1"/>
  <c r="F193" i="1" s="1"/>
  <c r="R193" i="1" s="1"/>
  <c r="T193" i="1" s="1"/>
  <c r="E112" i="1"/>
  <c r="F112" i="1" s="1"/>
  <c r="H124" i="1"/>
  <c r="I124" i="1" s="1"/>
  <c r="H88" i="1"/>
  <c r="I88" i="1" s="1"/>
  <c r="H112" i="1"/>
  <c r="I112" i="1" s="1"/>
  <c r="H157" i="1"/>
  <c r="I157" i="1" s="1"/>
  <c r="H169" i="1"/>
  <c r="I169" i="1" s="1"/>
  <c r="H75" i="1"/>
  <c r="I75" i="1" s="1"/>
  <c r="Q157" i="1"/>
  <c r="Q112" i="1"/>
  <c r="Q113" i="1"/>
  <c r="Q89" i="1"/>
  <c r="Q452" i="1"/>
  <c r="Q488" i="1"/>
  <c r="T464" i="1"/>
  <c r="Q125" i="1"/>
  <c r="S313" i="1"/>
  <c r="L34" i="1" l="1"/>
  <c r="L33" i="1"/>
  <c r="E33" i="1"/>
  <c r="R246" i="1"/>
  <c r="T246" i="1" s="1"/>
  <c r="R311" i="1"/>
  <c r="T311" i="1" s="1"/>
  <c r="R321" i="1"/>
  <c r="T321" i="1" s="1"/>
  <c r="R169" i="1"/>
  <c r="T169" i="1" s="1"/>
  <c r="R124" i="1"/>
  <c r="T124" i="1" s="1"/>
  <c r="R88" i="1"/>
  <c r="T88" i="1" s="1"/>
  <c r="R157" i="1"/>
  <c r="T157" i="1" s="1"/>
  <c r="R75" i="1"/>
  <c r="T75" i="1" s="1"/>
  <c r="I33" i="1" s="1"/>
  <c r="R112" i="1"/>
  <c r="T112" i="1" s="1"/>
  <c r="N215" i="1"/>
  <c r="Q501" i="1"/>
  <c r="S477" i="1"/>
  <c r="P477" i="1"/>
  <c r="F477" i="1"/>
  <c r="R477" i="1" s="1"/>
  <c r="AJ196" i="1"/>
  <c r="N464" i="1" s="1"/>
  <c r="O464" i="1" s="1"/>
  <c r="AJ176" i="1"/>
  <c r="V466" i="1"/>
  <c r="V468" i="1"/>
  <c r="V465" i="1"/>
  <c r="S465" i="1"/>
  <c r="S453" i="1"/>
  <c r="L465" i="1"/>
  <c r="P453" i="1"/>
  <c r="Q441" i="1"/>
  <c r="F441" i="1"/>
  <c r="R441" i="1" s="1"/>
  <c r="L453" i="1"/>
  <c r="Q430" i="1"/>
  <c r="F430" i="1"/>
  <c r="R430" i="1" s="1"/>
  <c r="Q418" i="1"/>
  <c r="AJ155" i="1"/>
  <c r="AI155" i="1"/>
  <c r="AH155" i="1"/>
  <c r="AG155" i="1"/>
  <c r="AF155" i="1"/>
  <c r="AE155" i="1"/>
  <c r="K94" i="1" s="1"/>
  <c r="L94" i="1" s="1"/>
  <c r="AD155" i="1"/>
  <c r="R408" i="1"/>
  <c r="Q406" i="1"/>
  <c r="Q394" i="1"/>
  <c r="F394" i="1"/>
  <c r="R394" i="1" s="1"/>
  <c r="F383" i="1"/>
  <c r="Q382" i="1"/>
  <c r="R382" i="1"/>
  <c r="Q366" i="1"/>
  <c r="F366" i="1"/>
  <c r="R366" i="1" s="1"/>
  <c r="AJ80" i="1"/>
  <c r="AI80" i="1"/>
  <c r="AH80" i="1"/>
  <c r="AG80" i="1"/>
  <c r="AF80" i="1"/>
  <c r="AE80" i="1"/>
  <c r="AD80" i="1"/>
  <c r="AJ105" i="1"/>
  <c r="AI105" i="1"/>
  <c r="AH105" i="1"/>
  <c r="AG105" i="1"/>
  <c r="AF105" i="1"/>
  <c r="AE105" i="1"/>
  <c r="AD105" i="1"/>
  <c r="Q355" i="1"/>
  <c r="S102" i="1"/>
  <c r="AE126" i="1"/>
  <c r="AJ126" i="1"/>
  <c r="E488" i="1" s="1"/>
  <c r="F488" i="1" s="1"/>
  <c r="R488" i="1" s="1"/>
  <c r="T488" i="1" s="1"/>
  <c r="AI126" i="1"/>
  <c r="E489" i="1" s="1"/>
  <c r="Q343" i="1"/>
  <c r="P313" i="1"/>
  <c r="Q296" i="1"/>
  <c r="Q284" i="1"/>
  <c r="Q236" i="1"/>
  <c r="I236" i="1"/>
  <c r="Q183" i="1"/>
  <c r="Q171" i="1"/>
  <c r="P159" i="1"/>
  <c r="S90" i="1"/>
  <c r="S91" i="1"/>
  <c r="S92" i="1"/>
  <c r="S93" i="1"/>
  <c r="S94" i="1"/>
  <c r="S95" i="1"/>
  <c r="S81" i="1"/>
  <c r="S126" i="1"/>
  <c r="S132" i="1" s="1"/>
  <c r="P126" i="1"/>
  <c r="P132" i="1" s="1"/>
  <c r="S114" i="1"/>
  <c r="P114" i="1"/>
  <c r="P102" i="1"/>
  <c r="P90" i="1"/>
  <c r="AI196" i="1"/>
  <c r="AI176" i="1"/>
  <c r="E272" i="1" s="1"/>
  <c r="F272" i="1" s="1"/>
  <c r="N465" i="1" l="1"/>
  <c r="O465" i="1" s="1"/>
  <c r="H272" i="1"/>
  <c r="I272" i="1" s="1"/>
  <c r="R272" i="1" s="1"/>
  <c r="T272" i="1" s="1"/>
  <c r="J35" i="1"/>
  <c r="M33" i="1"/>
  <c r="K35" i="1"/>
  <c r="S83" i="1"/>
  <c r="G39" i="1"/>
  <c r="S96" i="1"/>
  <c r="H170" i="1"/>
  <c r="I170" i="1" s="1"/>
  <c r="H312" i="1"/>
  <c r="I312" i="1" s="1"/>
  <c r="E322" i="1"/>
  <c r="F322" i="1" s="1"/>
  <c r="E312" i="1"/>
  <c r="F312" i="1" s="1"/>
  <c r="H464" i="1"/>
  <c r="I464" i="1" s="1"/>
  <c r="H452" i="1"/>
  <c r="I452" i="1" s="1"/>
  <c r="K89" i="1"/>
  <c r="L89" i="1" s="1"/>
  <c r="E464" i="1"/>
  <c r="F464" i="1" s="1"/>
  <c r="E354" i="1"/>
  <c r="F354" i="1" s="1"/>
  <c r="E452" i="1"/>
  <c r="F452" i="1" s="1"/>
  <c r="I322" i="1"/>
  <c r="E342" i="1"/>
  <c r="F342" i="1" s="1"/>
  <c r="R342" i="1" s="1"/>
  <c r="T342" i="1" s="1"/>
  <c r="E330" i="1"/>
  <c r="F330" i="1" s="1"/>
  <c r="R330" i="1" s="1"/>
  <c r="T330" i="1" s="1"/>
  <c r="N89" i="1"/>
  <c r="O89" i="1" s="1"/>
  <c r="H354" i="1"/>
  <c r="I354" i="1" s="1"/>
  <c r="E295" i="1"/>
  <c r="F295" i="1" s="1"/>
  <c r="E359" i="1"/>
  <c r="E457" i="1"/>
  <c r="H358" i="1"/>
  <c r="N93" i="1"/>
  <c r="E468" i="1"/>
  <c r="K93" i="1"/>
  <c r="L93" i="1" s="1"/>
  <c r="H359" i="1"/>
  <c r="N94" i="1"/>
  <c r="E360" i="1"/>
  <c r="E458" i="1"/>
  <c r="E467" i="1"/>
  <c r="K92" i="1"/>
  <c r="L92" i="1" s="1"/>
  <c r="E455" i="1"/>
  <c r="E357" i="1"/>
  <c r="N91" i="1"/>
  <c r="H356" i="1"/>
  <c r="E466" i="1"/>
  <c r="K91" i="1"/>
  <c r="L91" i="1" s="1"/>
  <c r="E423" i="1"/>
  <c r="K95" i="1"/>
  <c r="L95" i="1" s="1"/>
  <c r="E183" i="1"/>
  <c r="F183" i="1" s="1"/>
  <c r="E114" i="1"/>
  <c r="F114" i="1" s="1"/>
  <c r="E216" i="1"/>
  <c r="E313" i="1"/>
  <c r="F313" i="1" s="1"/>
  <c r="E236" i="1"/>
  <c r="F236" i="1" s="1"/>
  <c r="R236" i="1" s="1"/>
  <c r="T236" i="1" s="1"/>
  <c r="E284" i="1"/>
  <c r="F284" i="1" s="1"/>
  <c r="E171" i="1"/>
  <c r="F171" i="1" s="1"/>
  <c r="E102" i="1"/>
  <c r="F102" i="1" s="1"/>
  <c r="E208" i="1"/>
  <c r="E126" i="1"/>
  <c r="F126" i="1" s="1"/>
  <c r="E224" i="1"/>
  <c r="E159" i="1"/>
  <c r="F159" i="1" s="1"/>
  <c r="E90" i="1"/>
  <c r="F90" i="1" s="1"/>
  <c r="E77" i="1"/>
  <c r="E296" i="1"/>
  <c r="F296" i="1" s="1"/>
  <c r="H357" i="1"/>
  <c r="N92" i="1"/>
  <c r="F406" i="1"/>
  <c r="R406" i="1" s="1"/>
  <c r="E343" i="1"/>
  <c r="F343" i="1" s="1"/>
  <c r="R343" i="1" s="1"/>
  <c r="T343" i="1" s="1"/>
  <c r="E331" i="1"/>
  <c r="Q114" i="1"/>
  <c r="E454" i="1"/>
  <c r="E356" i="1"/>
  <c r="N90" i="1"/>
  <c r="O90" i="1" s="1"/>
  <c r="H355" i="1"/>
  <c r="I355" i="1" s="1"/>
  <c r="E418" i="1"/>
  <c r="F418" i="1" s="1"/>
  <c r="K90" i="1"/>
  <c r="L90" i="1" s="1"/>
  <c r="H360" i="1"/>
  <c r="N95" i="1"/>
  <c r="H114" i="1"/>
  <c r="I114" i="1" s="1"/>
  <c r="H126" i="1"/>
  <c r="I126" i="1" s="1"/>
  <c r="H284" i="1"/>
  <c r="I284" i="1" s="1"/>
  <c r="H171" i="1"/>
  <c r="I171" i="1" s="1"/>
  <c r="H102" i="1"/>
  <c r="I102" i="1" s="1"/>
  <c r="H313" i="1"/>
  <c r="I313" i="1" s="1"/>
  <c r="I296" i="1"/>
  <c r="H159" i="1"/>
  <c r="I159" i="1" s="1"/>
  <c r="H90" i="1"/>
  <c r="I90" i="1" s="1"/>
  <c r="H77" i="1"/>
  <c r="E456" i="1"/>
  <c r="E358" i="1"/>
  <c r="E335" i="1"/>
  <c r="E347" i="1"/>
  <c r="E410" i="1"/>
  <c r="F410" i="1" s="1"/>
  <c r="R410" i="1" s="1"/>
  <c r="E453" i="1"/>
  <c r="F453" i="1" s="1"/>
  <c r="E355" i="1"/>
  <c r="F355" i="1" s="1"/>
  <c r="E101" i="1"/>
  <c r="F101" i="1" s="1"/>
  <c r="E89" i="1"/>
  <c r="F89" i="1" s="1"/>
  <c r="E170" i="1"/>
  <c r="F170" i="1" s="1"/>
  <c r="E125" i="1"/>
  <c r="F125" i="1" s="1"/>
  <c r="E113" i="1"/>
  <c r="F113" i="1" s="1"/>
  <c r="E76" i="1"/>
  <c r="F76" i="1" s="1"/>
  <c r="E158" i="1"/>
  <c r="F158" i="1" s="1"/>
  <c r="E182" i="1"/>
  <c r="F182" i="1" s="1"/>
  <c r="R182" i="1" s="1"/>
  <c r="T182" i="1" s="1"/>
  <c r="E194" i="1"/>
  <c r="F194" i="1" s="1"/>
  <c r="R194" i="1" s="1"/>
  <c r="T194" i="1" s="1"/>
  <c r="E235" i="1"/>
  <c r="F235" i="1" s="1"/>
  <c r="H235" i="1"/>
  <c r="I235" i="1" s="1"/>
  <c r="H76" i="1"/>
  <c r="I76" i="1" s="1"/>
  <c r="H125" i="1"/>
  <c r="I125" i="1" s="1"/>
  <c r="H113" i="1"/>
  <c r="I113" i="1" s="1"/>
  <c r="H101" i="1"/>
  <c r="I101" i="1" s="1"/>
  <c r="H89" i="1"/>
  <c r="I89" i="1" s="1"/>
  <c r="H158" i="1"/>
  <c r="I158" i="1" s="1"/>
  <c r="D35" i="1"/>
  <c r="C35" i="1"/>
  <c r="H423" i="1"/>
  <c r="E420" i="1"/>
  <c r="H468" i="1"/>
  <c r="E422" i="1"/>
  <c r="H454" i="1"/>
  <c r="E465" i="1"/>
  <c r="F465" i="1" s="1"/>
  <c r="E469" i="1"/>
  <c r="E470" i="1"/>
  <c r="T465" i="1"/>
  <c r="H466" i="1"/>
  <c r="E421" i="1"/>
  <c r="H467" i="1"/>
  <c r="H465" i="1"/>
  <c r="I465" i="1" s="1"/>
  <c r="H453" i="1"/>
  <c r="I453" i="1" s="1"/>
  <c r="E419" i="1"/>
  <c r="H422" i="1"/>
  <c r="H469" i="1"/>
  <c r="H455" i="1"/>
  <c r="H421" i="1"/>
  <c r="H470" i="1"/>
  <c r="H456" i="1"/>
  <c r="H420" i="1"/>
  <c r="H457" i="1"/>
  <c r="H419" i="1"/>
  <c r="H458" i="1"/>
  <c r="H418" i="1"/>
  <c r="I418" i="1" s="1"/>
  <c r="Q477" i="1"/>
  <c r="Q453" i="1"/>
  <c r="Q313" i="1"/>
  <c r="Q159" i="1"/>
  <c r="Q126" i="1"/>
  <c r="Q102" i="1"/>
  <c r="Q90" i="1"/>
  <c r="G44" i="1" l="1"/>
  <c r="G42" i="1"/>
  <c r="L35" i="1"/>
  <c r="R313" i="1"/>
  <c r="T313" i="1" s="1"/>
  <c r="R312" i="1"/>
  <c r="T312" i="1" s="1"/>
  <c r="E34" i="1"/>
  <c r="R295" i="1"/>
  <c r="T295" i="1" s="1"/>
  <c r="R284" i="1"/>
  <c r="T284" i="1" s="1"/>
  <c r="U464" i="1"/>
  <c r="W464" i="1" s="1"/>
  <c r="R354" i="1"/>
  <c r="T354" i="1" s="1"/>
  <c r="R322" i="1"/>
  <c r="T322" i="1" s="1"/>
  <c r="R170" i="1"/>
  <c r="T170" i="1" s="1"/>
  <c r="R355" i="1"/>
  <c r="T355" i="1" s="1"/>
  <c r="R296" i="1"/>
  <c r="T296" i="1" s="1"/>
  <c r="R114" i="1"/>
  <c r="T114" i="1" s="1"/>
  <c r="R159" i="1"/>
  <c r="T159" i="1" s="1"/>
  <c r="R102" i="1"/>
  <c r="T102" i="1" s="1"/>
  <c r="R76" i="1"/>
  <c r="R171" i="1"/>
  <c r="T171" i="1" s="1"/>
  <c r="R89" i="1"/>
  <c r="T89" i="1" s="1"/>
  <c r="R158" i="1"/>
  <c r="T158" i="1" s="1"/>
  <c r="R126" i="1"/>
  <c r="T126" i="1" s="1"/>
  <c r="R113" i="1"/>
  <c r="T113" i="1" s="1"/>
  <c r="R90" i="1"/>
  <c r="T90" i="1" s="1"/>
  <c r="R125" i="1"/>
  <c r="T125" i="1" s="1"/>
  <c r="E35" i="1"/>
  <c r="U465" i="1"/>
  <c r="W465" i="1" s="1"/>
  <c r="R418" i="1"/>
  <c r="T418" i="1" s="1"/>
  <c r="Q331" i="1"/>
  <c r="F331" i="1"/>
  <c r="R331" i="1" s="1"/>
  <c r="Q77" i="1"/>
  <c r="I77" i="1"/>
  <c r="F77" i="1"/>
  <c r="M35" i="1" l="1"/>
  <c r="M34" i="1"/>
  <c r="T76" i="1"/>
  <c r="I34" i="1" s="1"/>
  <c r="T331" i="1"/>
  <c r="R77" i="1"/>
  <c r="T77" i="1" l="1"/>
  <c r="I35" i="1" s="1"/>
  <c r="AH126" i="1"/>
  <c r="E490" i="1" s="1"/>
  <c r="AG126" i="1"/>
  <c r="E491" i="1" s="1"/>
  <c r="AF126" i="1"/>
  <c r="AD126" i="1"/>
  <c r="AE196" i="1"/>
  <c r="H187" i="1" s="1"/>
  <c r="I187" i="1" s="1"/>
  <c r="AF196" i="1"/>
  <c r="AG196" i="1"/>
  <c r="N467" i="1" s="1"/>
  <c r="AH196" i="1"/>
  <c r="H273" i="1" s="1"/>
  <c r="I273" i="1" s="1"/>
  <c r="AD196" i="1"/>
  <c r="AE176" i="1"/>
  <c r="AF176" i="1"/>
  <c r="AG176" i="1"/>
  <c r="AH176" i="1"/>
  <c r="E273" i="1" s="1"/>
  <c r="F273" i="1" s="1"/>
  <c r="AD176" i="1"/>
  <c r="R273" i="1" l="1"/>
  <c r="T273" i="1" s="1"/>
  <c r="H164" i="1"/>
  <c r="H95" i="1"/>
  <c r="H176" i="1"/>
  <c r="H107" i="1"/>
  <c r="H119" i="1"/>
  <c r="H131" i="1"/>
  <c r="H274" i="1"/>
  <c r="H128" i="1"/>
  <c r="H116" i="1"/>
  <c r="H161" i="1"/>
  <c r="H92" i="1"/>
  <c r="H173" i="1"/>
  <c r="H104" i="1"/>
  <c r="E314" i="1"/>
  <c r="E237" i="1"/>
  <c r="E127" i="1"/>
  <c r="E225" i="1"/>
  <c r="E160" i="1"/>
  <c r="E78" i="1"/>
  <c r="E184" i="1"/>
  <c r="E285" i="1"/>
  <c r="E91" i="1"/>
  <c r="E297" i="1"/>
  <c r="E172" i="1"/>
  <c r="E103" i="1"/>
  <c r="E209" i="1"/>
  <c r="E115" i="1"/>
  <c r="E217" i="1"/>
  <c r="H275" i="1"/>
  <c r="H129" i="1"/>
  <c r="H117" i="1"/>
  <c r="H162" i="1"/>
  <c r="H93" i="1"/>
  <c r="H174" i="1"/>
  <c r="H105" i="1"/>
  <c r="E344" i="1"/>
  <c r="E332" i="1"/>
  <c r="E265" i="1"/>
  <c r="E176" i="1"/>
  <c r="E107" i="1"/>
  <c r="E213" i="1"/>
  <c r="E188" i="1"/>
  <c r="E221" i="1"/>
  <c r="E119" i="1"/>
  <c r="E289" i="1"/>
  <c r="E164" i="1"/>
  <c r="E95" i="1"/>
  <c r="E82" i="1"/>
  <c r="E253" i="1"/>
  <c r="E131" i="1"/>
  <c r="E229" i="1"/>
  <c r="H264" i="1"/>
  <c r="H163" i="1"/>
  <c r="H94" i="1"/>
  <c r="H175" i="1"/>
  <c r="H106" i="1"/>
  <c r="H118" i="1"/>
  <c r="H276" i="1"/>
  <c r="H130" i="1"/>
  <c r="E128" i="1"/>
  <c r="E226" i="1"/>
  <c r="E286" i="1"/>
  <c r="E274" i="1"/>
  <c r="E197" i="1"/>
  <c r="E161" i="1"/>
  <c r="E92" i="1"/>
  <c r="E79" i="1"/>
  <c r="E298" i="1"/>
  <c r="E185" i="1"/>
  <c r="E116" i="1"/>
  <c r="E218" i="1"/>
  <c r="E173" i="1"/>
  <c r="E104" i="1"/>
  <c r="E210" i="1"/>
  <c r="E250" i="1"/>
  <c r="E315" i="1"/>
  <c r="E238" i="1"/>
  <c r="E336" i="1"/>
  <c r="E348" i="1"/>
  <c r="E287" i="1"/>
  <c r="E162" i="1"/>
  <c r="E93" i="1"/>
  <c r="E80" i="1"/>
  <c r="E105" i="1"/>
  <c r="E129" i="1"/>
  <c r="E227" i="1"/>
  <c r="E299" i="1"/>
  <c r="E263" i="1"/>
  <c r="E174" i="1"/>
  <c r="E211" i="1"/>
  <c r="E275" i="1"/>
  <c r="E251" i="1"/>
  <c r="E186" i="1"/>
  <c r="E117" i="1"/>
  <c r="E219" i="1"/>
  <c r="E346" i="1"/>
  <c r="E334" i="1"/>
  <c r="E409" i="1"/>
  <c r="F409" i="1" s="1"/>
  <c r="R409" i="1" s="1"/>
  <c r="E163" i="1"/>
  <c r="E94" i="1"/>
  <c r="E81" i="1"/>
  <c r="E288" i="1"/>
  <c r="E264" i="1"/>
  <c r="E175" i="1"/>
  <c r="E106" i="1"/>
  <c r="E212" i="1"/>
  <c r="E276" i="1"/>
  <c r="E187" i="1"/>
  <c r="E118" i="1"/>
  <c r="E220" i="1"/>
  <c r="E130" i="1"/>
  <c r="E228" i="1"/>
  <c r="E345" i="1"/>
  <c r="E333" i="1"/>
  <c r="H115" i="1"/>
  <c r="H127" i="1"/>
  <c r="H172" i="1"/>
  <c r="H103" i="1"/>
  <c r="H160" i="1"/>
  <c r="H91" i="1"/>
  <c r="H197" i="1"/>
  <c r="R183" i="1"/>
  <c r="H221" i="1"/>
  <c r="H253" i="1"/>
  <c r="H229" i="1"/>
  <c r="H82" i="1"/>
  <c r="H265" i="1"/>
  <c r="H152" i="1"/>
  <c r="H213" i="1"/>
  <c r="H210" i="1"/>
  <c r="H237" i="1"/>
  <c r="H211" i="1"/>
  <c r="H238" i="1"/>
  <c r="H314" i="1"/>
  <c r="E152" i="1"/>
  <c r="H251" i="1"/>
  <c r="H315" i="1"/>
  <c r="H285" i="1"/>
  <c r="H212" i="1"/>
  <c r="H263" i="1"/>
  <c r="H286" i="1"/>
  <c r="H250" i="1"/>
  <c r="H81" i="1"/>
  <c r="H80" i="1"/>
  <c r="H227" i="1"/>
  <c r="H79" i="1"/>
  <c r="H228" i="1"/>
  <c r="H287" i="1"/>
  <c r="H78" i="1"/>
  <c r="T183" i="1" l="1"/>
  <c r="F78" i="1"/>
  <c r="P115" i="1"/>
  <c r="P103" i="1"/>
  <c r="S332" i="1"/>
  <c r="S337" i="1" s="1"/>
  <c r="P332" i="1"/>
  <c r="P337" i="1" s="1"/>
  <c r="O467" i="1"/>
  <c r="O466" i="1"/>
  <c r="S468" i="1"/>
  <c r="S469" i="1"/>
  <c r="V467" i="1"/>
  <c r="V469" i="1"/>
  <c r="V470" i="1"/>
  <c r="S470" i="1"/>
  <c r="V471" i="1" l="1"/>
  <c r="S314" i="1"/>
  <c r="P314" i="1"/>
  <c r="P491" i="1"/>
  <c r="S491" i="1"/>
  <c r="S490" i="1"/>
  <c r="P490" i="1"/>
  <c r="P315" i="1"/>
  <c r="P319" i="1" s="1"/>
  <c r="S315" i="1"/>
  <c r="S458" i="1"/>
  <c r="S457" i="1"/>
  <c r="S455" i="1"/>
  <c r="S454" i="1"/>
  <c r="S456" i="1"/>
  <c r="P456" i="1"/>
  <c r="P81" i="1"/>
  <c r="F39" i="1" s="1"/>
  <c r="S507" i="1"/>
  <c r="P507" i="1"/>
  <c r="S424" i="1"/>
  <c r="P424" i="1"/>
  <c r="S412" i="1"/>
  <c r="P412" i="1"/>
  <c r="S372" i="1"/>
  <c r="S376" i="1" s="1"/>
  <c r="S230" i="1"/>
  <c r="P230" i="1"/>
  <c r="S222" i="1"/>
  <c r="P222" i="1"/>
  <c r="S214" i="1"/>
  <c r="P214" i="1"/>
  <c r="S482" i="1"/>
  <c r="S481" i="1"/>
  <c r="S480" i="1"/>
  <c r="S479" i="1"/>
  <c r="S478" i="1"/>
  <c r="P482" i="1"/>
  <c r="P481" i="1"/>
  <c r="P480" i="1"/>
  <c r="P479" i="1"/>
  <c r="P478" i="1"/>
  <c r="P164" i="1"/>
  <c r="P163" i="1"/>
  <c r="P162" i="1"/>
  <c r="P161" i="1"/>
  <c r="P160" i="1"/>
  <c r="S153" i="1"/>
  <c r="P152" i="1"/>
  <c r="P153" i="1" s="1"/>
  <c r="S119" i="1"/>
  <c r="P119" i="1"/>
  <c r="P117" i="1"/>
  <c r="S117" i="1"/>
  <c r="S118" i="1"/>
  <c r="P118" i="1"/>
  <c r="S116" i="1"/>
  <c r="P116" i="1"/>
  <c r="S115" i="1"/>
  <c r="S107" i="1"/>
  <c r="S106" i="1"/>
  <c r="S105" i="1"/>
  <c r="S104" i="1"/>
  <c r="S103" i="1"/>
  <c r="P107" i="1"/>
  <c r="P106" i="1"/>
  <c r="P105" i="1"/>
  <c r="P104" i="1"/>
  <c r="P95" i="1"/>
  <c r="P94" i="1"/>
  <c r="P93" i="1"/>
  <c r="P92" i="1"/>
  <c r="P91" i="1"/>
  <c r="P458" i="1"/>
  <c r="P457" i="1"/>
  <c r="P455" i="1"/>
  <c r="P454" i="1"/>
  <c r="S466" i="1"/>
  <c r="S467" i="1"/>
  <c r="P483" i="1" l="1"/>
  <c r="K38" i="1"/>
  <c r="K40" i="1"/>
  <c r="S108" i="1"/>
  <c r="F44" i="1"/>
  <c r="F42" i="1"/>
  <c r="H42" i="1" s="1"/>
  <c r="P120" i="1"/>
  <c r="K39" i="1"/>
  <c r="J39" i="1"/>
  <c r="H39" i="1"/>
  <c r="S120" i="1"/>
  <c r="P96" i="1"/>
  <c r="J36" i="1"/>
  <c r="J37" i="1"/>
  <c r="J38" i="1"/>
  <c r="J40" i="1"/>
  <c r="J44" i="1" s="1"/>
  <c r="K36" i="1"/>
  <c r="K37" i="1"/>
  <c r="S471" i="1"/>
  <c r="S319" i="1"/>
  <c r="S459" i="1"/>
  <c r="P165" i="1"/>
  <c r="S483" i="1"/>
  <c r="P459" i="1"/>
  <c r="P83" i="1"/>
  <c r="C40" i="1"/>
  <c r="D39" i="1"/>
  <c r="D44" i="1" s="1"/>
  <c r="C36" i="1"/>
  <c r="C39" i="1"/>
  <c r="C38" i="1"/>
  <c r="Q455" i="1"/>
  <c r="P108" i="1"/>
  <c r="Q454" i="1"/>
  <c r="Q458" i="1"/>
  <c r="Q456" i="1"/>
  <c r="S495" i="1"/>
  <c r="Q457" i="1"/>
  <c r="C44" i="1" l="1"/>
  <c r="L39" i="1"/>
  <c r="L38" i="1"/>
  <c r="L40" i="1"/>
  <c r="L44" i="1" s="1"/>
  <c r="K42" i="1"/>
  <c r="K44" i="1"/>
  <c r="D42" i="1"/>
  <c r="C42" i="1"/>
  <c r="J42" i="1"/>
  <c r="L37" i="1"/>
  <c r="L36" i="1"/>
  <c r="E40" i="1"/>
  <c r="E39" i="1"/>
  <c r="E37" i="1"/>
  <c r="E36" i="1"/>
  <c r="E38" i="1"/>
  <c r="F505" i="1"/>
  <c r="R505" i="1" s="1"/>
  <c r="Q479" i="1"/>
  <c r="Q480" i="1"/>
  <c r="Q408" i="1"/>
  <c r="Q409" i="1"/>
  <c r="T408" i="1"/>
  <c r="T409" i="1"/>
  <c r="T410" i="1"/>
  <c r="T411" i="1"/>
  <c r="Q410" i="1"/>
  <c r="Q411" i="1"/>
  <c r="I455" i="1"/>
  <c r="I456" i="1"/>
  <c r="I457" i="1"/>
  <c r="I458" i="1"/>
  <c r="L455" i="1"/>
  <c r="L456" i="1"/>
  <c r="L457" i="1"/>
  <c r="L458" i="1"/>
  <c r="F334" i="1"/>
  <c r="R334" i="1" s="1"/>
  <c r="T334" i="1" s="1"/>
  <c r="F335" i="1"/>
  <c r="R335" i="1" s="1"/>
  <c r="T335" i="1" s="1"/>
  <c r="F336" i="1"/>
  <c r="R336" i="1" s="1"/>
  <c r="T336" i="1" s="1"/>
  <c r="L469" i="1"/>
  <c r="L470" i="1"/>
  <c r="L467" i="1"/>
  <c r="L468" i="1"/>
  <c r="I467" i="1"/>
  <c r="I468" i="1"/>
  <c r="I469" i="1"/>
  <c r="I470" i="1"/>
  <c r="F502" i="1"/>
  <c r="Q491" i="1"/>
  <c r="Q481" i="1"/>
  <c r="Q482" i="1"/>
  <c r="T467" i="1"/>
  <c r="T468" i="1"/>
  <c r="T469" i="1"/>
  <c r="T470" i="1"/>
  <c r="Q443" i="1"/>
  <c r="F504" i="1"/>
  <c r="R504" i="1" s="1"/>
  <c r="F506" i="1"/>
  <c r="R506" i="1" s="1"/>
  <c r="F491" i="1"/>
  <c r="R491" i="1" s="1"/>
  <c r="T491" i="1" s="1"/>
  <c r="F492" i="1"/>
  <c r="F493" i="1"/>
  <c r="F494" i="1"/>
  <c r="F479" i="1"/>
  <c r="R479" i="1" s="1"/>
  <c r="F480" i="1"/>
  <c r="F481" i="1"/>
  <c r="R481" i="1" s="1"/>
  <c r="F482" i="1"/>
  <c r="R482" i="1" s="1"/>
  <c r="F467" i="1"/>
  <c r="F468" i="1"/>
  <c r="F469" i="1"/>
  <c r="F470" i="1"/>
  <c r="F455" i="1"/>
  <c r="F456" i="1"/>
  <c r="F457" i="1"/>
  <c r="F458" i="1"/>
  <c r="F443" i="1"/>
  <c r="F444" i="1"/>
  <c r="F445" i="1"/>
  <c r="F446" i="1"/>
  <c r="Q503" i="1"/>
  <c r="F503" i="1"/>
  <c r="R503" i="1" s="1"/>
  <c r="Q368" i="1"/>
  <c r="Q369" i="1"/>
  <c r="Q370" i="1"/>
  <c r="Q371" i="1"/>
  <c r="F368" i="1"/>
  <c r="F369" i="1"/>
  <c r="F370" i="1"/>
  <c r="F371" i="1"/>
  <c r="Q384" i="1"/>
  <c r="Q385" i="1"/>
  <c r="Q386" i="1"/>
  <c r="Q387" i="1"/>
  <c r="F384" i="1"/>
  <c r="R384" i="1" s="1"/>
  <c r="F385" i="1"/>
  <c r="R385" i="1" s="1"/>
  <c r="F386" i="1"/>
  <c r="R386" i="1" s="1"/>
  <c r="F387" i="1"/>
  <c r="R387" i="1" s="1"/>
  <c r="Q396" i="1"/>
  <c r="Q397" i="1"/>
  <c r="Q398" i="1"/>
  <c r="Q399" i="1"/>
  <c r="F396" i="1"/>
  <c r="R396" i="1" s="1"/>
  <c r="F397" i="1"/>
  <c r="R397" i="1" s="1"/>
  <c r="F398" i="1"/>
  <c r="R398" i="1" s="1"/>
  <c r="F399" i="1"/>
  <c r="R399" i="1" s="1"/>
  <c r="Q357" i="1"/>
  <c r="Q358" i="1"/>
  <c r="Q359" i="1"/>
  <c r="Q360" i="1"/>
  <c r="I357" i="1"/>
  <c r="I358" i="1"/>
  <c r="I359" i="1"/>
  <c r="I360" i="1"/>
  <c r="F357" i="1"/>
  <c r="F358" i="1"/>
  <c r="F359" i="1"/>
  <c r="F360" i="1"/>
  <c r="Q420" i="1"/>
  <c r="Q421" i="1"/>
  <c r="Q422" i="1"/>
  <c r="Q423" i="1"/>
  <c r="F420" i="1"/>
  <c r="F421" i="1"/>
  <c r="F422" i="1"/>
  <c r="F423" i="1"/>
  <c r="I420" i="1"/>
  <c r="I421" i="1"/>
  <c r="I422" i="1"/>
  <c r="I423" i="1"/>
  <c r="Q432" i="1"/>
  <c r="Q433" i="1"/>
  <c r="Q434" i="1"/>
  <c r="Q435" i="1"/>
  <c r="F432" i="1"/>
  <c r="R432" i="1" s="1"/>
  <c r="F433" i="1"/>
  <c r="R433" i="1" s="1"/>
  <c r="F434" i="1"/>
  <c r="R434" i="1" s="1"/>
  <c r="F435" i="1"/>
  <c r="R435" i="1" s="1"/>
  <c r="Q345" i="1"/>
  <c r="Q346" i="1"/>
  <c r="Q347" i="1"/>
  <c r="Q348" i="1"/>
  <c r="F345" i="1"/>
  <c r="R345" i="1" s="1"/>
  <c r="T345" i="1" s="1"/>
  <c r="F346" i="1"/>
  <c r="R346" i="1" s="1"/>
  <c r="T346" i="1" s="1"/>
  <c r="F347" i="1"/>
  <c r="R347" i="1" s="1"/>
  <c r="T347" i="1" s="1"/>
  <c r="F348" i="1"/>
  <c r="R348" i="1" s="1"/>
  <c r="T348" i="1" s="1"/>
  <c r="Q336" i="1"/>
  <c r="Q334" i="1"/>
  <c r="Q335" i="1"/>
  <c r="Q333" i="1"/>
  <c r="F333" i="1"/>
  <c r="R333" i="1" s="1"/>
  <c r="T333" i="1" s="1"/>
  <c r="Q490" i="1"/>
  <c r="F490" i="1"/>
  <c r="R490" i="1" s="1"/>
  <c r="Q478" i="1"/>
  <c r="F478" i="1"/>
  <c r="R478" i="1" s="1"/>
  <c r="W466" i="1"/>
  <c r="T466" i="1"/>
  <c r="L466" i="1"/>
  <c r="L454" i="1"/>
  <c r="I466" i="1"/>
  <c r="I454" i="1"/>
  <c r="F466" i="1"/>
  <c r="F454" i="1"/>
  <c r="Q442" i="1"/>
  <c r="F442" i="1"/>
  <c r="R442" i="1" s="1"/>
  <c r="Q431" i="1"/>
  <c r="F431" i="1"/>
  <c r="R431" i="1" s="1"/>
  <c r="Q419" i="1"/>
  <c r="Q314" i="1"/>
  <c r="Q407" i="1"/>
  <c r="I419" i="1"/>
  <c r="F419" i="1"/>
  <c r="F407" i="1"/>
  <c r="R407" i="1" s="1"/>
  <c r="Q395" i="1"/>
  <c r="F395" i="1"/>
  <c r="Q383" i="1"/>
  <c r="R383" i="1"/>
  <c r="T383" i="1" s="1"/>
  <c r="Q367" i="1"/>
  <c r="F367" i="1"/>
  <c r="R367" i="1" s="1"/>
  <c r="I356" i="1"/>
  <c r="F356" i="1"/>
  <c r="Q356" i="1"/>
  <c r="F344" i="1"/>
  <c r="R344" i="1" s="1"/>
  <c r="T344" i="1" s="1"/>
  <c r="F332" i="1"/>
  <c r="R332" i="1" s="1"/>
  <c r="T332" i="1" s="1"/>
  <c r="Q332" i="1"/>
  <c r="Q344" i="1"/>
  <c r="I209" i="1"/>
  <c r="F209" i="1"/>
  <c r="I314" i="1"/>
  <c r="F314" i="1"/>
  <c r="Q160" i="1"/>
  <c r="I160" i="1"/>
  <c r="F160" i="1"/>
  <c r="Q115" i="1"/>
  <c r="I115" i="1"/>
  <c r="F115" i="1"/>
  <c r="Q103" i="1"/>
  <c r="I103" i="1"/>
  <c r="F103" i="1"/>
  <c r="Q91" i="1"/>
  <c r="O91" i="1"/>
  <c r="I91" i="1"/>
  <c r="F91" i="1"/>
  <c r="Q285" i="1"/>
  <c r="I285" i="1"/>
  <c r="F285" i="1"/>
  <c r="Q297" i="1"/>
  <c r="I297" i="1"/>
  <c r="F297" i="1"/>
  <c r="Q172" i="1"/>
  <c r="I172" i="1"/>
  <c r="F172" i="1"/>
  <c r="Q184" i="1"/>
  <c r="F184" i="1"/>
  <c r="Q237" i="1"/>
  <c r="I237" i="1"/>
  <c r="F237" i="1"/>
  <c r="I78" i="1"/>
  <c r="Q78" i="1"/>
  <c r="E44" i="1" l="1"/>
  <c r="E42" i="1"/>
  <c r="L42" i="1"/>
  <c r="U469" i="1"/>
  <c r="W469" i="1" s="1"/>
  <c r="U470" i="1"/>
  <c r="W470" i="1" s="1"/>
  <c r="U467" i="1"/>
  <c r="W467" i="1" s="1"/>
  <c r="U468" i="1"/>
  <c r="W468" i="1" s="1"/>
  <c r="R314" i="1"/>
  <c r="T314" i="1" s="1"/>
  <c r="R103" i="1"/>
  <c r="T103" i="1" s="1"/>
  <c r="R160" i="1"/>
  <c r="T160" i="1" s="1"/>
  <c r="R91" i="1"/>
  <c r="R115" i="1"/>
  <c r="T115" i="1" s="1"/>
  <c r="R422" i="1"/>
  <c r="T422" i="1" s="1"/>
  <c r="R359" i="1"/>
  <c r="T359" i="1" s="1"/>
  <c r="R358" i="1"/>
  <c r="T358" i="1" s="1"/>
  <c r="R357" i="1"/>
  <c r="T357" i="1" s="1"/>
  <c r="R360" i="1"/>
  <c r="T360" i="1" s="1"/>
  <c r="R297" i="1"/>
  <c r="T297" i="1" s="1"/>
  <c r="R78" i="1"/>
  <c r="T78" i="1" s="1"/>
  <c r="I36" i="1" s="1"/>
  <c r="R184" i="1"/>
  <c r="T184" i="1" s="1"/>
  <c r="R421" i="1"/>
  <c r="T421" i="1" s="1"/>
  <c r="R420" i="1"/>
  <c r="T420" i="1" s="1"/>
  <c r="R423" i="1"/>
  <c r="T423" i="1" s="1"/>
  <c r="T490" i="1"/>
  <c r="R419" i="1"/>
  <c r="T419" i="1" s="1"/>
  <c r="R395" i="1"/>
  <c r="R356" i="1"/>
  <c r="T356" i="1" s="1"/>
  <c r="R172" i="1"/>
  <c r="T172" i="1" s="1"/>
  <c r="R209" i="1"/>
  <c r="R285" i="1"/>
  <c r="T285" i="1" s="1"/>
  <c r="R237" i="1"/>
  <c r="T237" i="1" s="1"/>
  <c r="Q315" i="1"/>
  <c r="Q299" i="1"/>
  <c r="Q298" i="1"/>
  <c r="Q286" i="1"/>
  <c r="Q287" i="1"/>
  <c r="Q274" i="1"/>
  <c r="Q276" i="1"/>
  <c r="Q275" i="1"/>
  <c r="Q265" i="1"/>
  <c r="Q264" i="1"/>
  <c r="Q263" i="1"/>
  <c r="Q250" i="1"/>
  <c r="Q253" i="1"/>
  <c r="Q251" i="1"/>
  <c r="Q238" i="1"/>
  <c r="Q229" i="1"/>
  <c r="Q228" i="1"/>
  <c r="Q227" i="1"/>
  <c r="Q221" i="1"/>
  <c r="Q213" i="1"/>
  <c r="Q212" i="1"/>
  <c r="Q211" i="1"/>
  <c r="Q210" i="1"/>
  <c r="Q197" i="1"/>
  <c r="Q185" i="1"/>
  <c r="Q188" i="1"/>
  <c r="Q187" i="1"/>
  <c r="Q186" i="1"/>
  <c r="Q176" i="1"/>
  <c r="Q175" i="1"/>
  <c r="Q174" i="1"/>
  <c r="Q173" i="1"/>
  <c r="Q164" i="1"/>
  <c r="Q163" i="1"/>
  <c r="Q162" i="1"/>
  <c r="Q161" i="1"/>
  <c r="Q152" i="1"/>
  <c r="Q116" i="1"/>
  <c r="Q119" i="1"/>
  <c r="Q118" i="1"/>
  <c r="Q117" i="1"/>
  <c r="Q107" i="1"/>
  <c r="Q106" i="1"/>
  <c r="Q105" i="1"/>
  <c r="Q104" i="1"/>
  <c r="Q95" i="1"/>
  <c r="Q94" i="1"/>
  <c r="Q93" i="1"/>
  <c r="Q92" i="1"/>
  <c r="Q80" i="1"/>
  <c r="Q81" i="1"/>
  <c r="Q82" i="1"/>
  <c r="Q79" i="1"/>
  <c r="I315" i="1"/>
  <c r="F315" i="1"/>
  <c r="F287" i="1"/>
  <c r="I287" i="1"/>
  <c r="I299" i="1"/>
  <c r="F299" i="1"/>
  <c r="I298" i="1"/>
  <c r="F298" i="1"/>
  <c r="I286" i="1"/>
  <c r="F286" i="1"/>
  <c r="I276" i="1"/>
  <c r="F276" i="1"/>
  <c r="I275" i="1"/>
  <c r="F275" i="1"/>
  <c r="I274" i="1"/>
  <c r="F274" i="1"/>
  <c r="I265" i="1"/>
  <c r="F265" i="1"/>
  <c r="I264" i="1"/>
  <c r="F264" i="1"/>
  <c r="I263" i="1"/>
  <c r="F263" i="1"/>
  <c r="I253" i="1"/>
  <c r="F253" i="1"/>
  <c r="I251" i="1"/>
  <c r="F251" i="1"/>
  <c r="I250" i="1"/>
  <c r="F250" i="1"/>
  <c r="I238" i="1"/>
  <c r="F238" i="1"/>
  <c r="I229" i="1"/>
  <c r="F229" i="1"/>
  <c r="I228" i="1"/>
  <c r="F228" i="1"/>
  <c r="I227" i="1"/>
  <c r="F227" i="1"/>
  <c r="I221" i="1"/>
  <c r="F221" i="1"/>
  <c r="I220" i="1"/>
  <c r="F220" i="1"/>
  <c r="I219" i="1"/>
  <c r="F219" i="1"/>
  <c r="I218" i="1"/>
  <c r="F218" i="1"/>
  <c r="I213" i="1"/>
  <c r="F213" i="1"/>
  <c r="I212" i="1"/>
  <c r="F212" i="1"/>
  <c r="I211" i="1"/>
  <c r="F211" i="1"/>
  <c r="I210" i="1"/>
  <c r="F210" i="1"/>
  <c r="F200" i="1"/>
  <c r="F199" i="1"/>
  <c r="F198" i="1"/>
  <c r="I197" i="1"/>
  <c r="F197" i="1"/>
  <c r="F188" i="1"/>
  <c r="F187" i="1"/>
  <c r="F186" i="1"/>
  <c r="F185" i="1"/>
  <c r="T91" i="1" l="1"/>
  <c r="M36" i="1" s="1"/>
  <c r="R315" i="1"/>
  <c r="T315" i="1" s="1"/>
  <c r="R185" i="1"/>
  <c r="T185" i="1" s="1"/>
  <c r="R197" i="1"/>
  <c r="T197" i="1" s="1"/>
  <c r="R210" i="1"/>
  <c r="T210" i="1" s="1"/>
  <c r="R218" i="1"/>
  <c r="R250" i="1"/>
  <c r="T250" i="1" s="1"/>
  <c r="R198" i="1"/>
  <c r="R211" i="1"/>
  <c r="T211" i="1" s="1"/>
  <c r="R220" i="1"/>
  <c r="R219" i="1"/>
  <c r="R251" i="1"/>
  <c r="T251" i="1" s="1"/>
  <c r="R229" i="1"/>
  <c r="T229" i="1" s="1"/>
  <c r="R274" i="1"/>
  <c r="T274" i="1" s="1"/>
  <c r="R265" i="1"/>
  <c r="T265" i="1" s="1"/>
  <c r="R200" i="1"/>
  <c r="R213" i="1"/>
  <c r="T213" i="1" s="1"/>
  <c r="R221" i="1"/>
  <c r="T221" i="1" s="1"/>
  <c r="R263" i="1"/>
  <c r="T263" i="1" s="1"/>
  <c r="R275" i="1"/>
  <c r="T275" i="1" s="1"/>
  <c r="R299" i="1"/>
  <c r="T299" i="1" s="1"/>
  <c r="R264" i="1"/>
  <c r="T264" i="1" s="1"/>
  <c r="R276" i="1"/>
  <c r="T276" i="1" s="1"/>
  <c r="R287" i="1"/>
  <c r="T287" i="1" s="1"/>
  <c r="R286" i="1"/>
  <c r="T286" i="1" s="1"/>
  <c r="R298" i="1"/>
  <c r="T298" i="1" s="1"/>
  <c r="R199" i="1"/>
  <c r="R253" i="1"/>
  <c r="T253" i="1" s="1"/>
  <c r="R238" i="1"/>
  <c r="T238" i="1" s="1"/>
  <c r="R227" i="1"/>
  <c r="T227" i="1" s="1"/>
  <c r="R228" i="1"/>
  <c r="T228" i="1" s="1"/>
  <c r="R212" i="1"/>
  <c r="T212" i="1" s="1"/>
  <c r="R187" i="1"/>
  <c r="T187" i="1" s="1"/>
  <c r="R186" i="1"/>
  <c r="T186" i="1" s="1"/>
  <c r="R188" i="1"/>
  <c r="T188" i="1" s="1"/>
  <c r="O95" i="1"/>
  <c r="O94" i="1"/>
  <c r="O93" i="1"/>
  <c r="O92" i="1"/>
  <c r="I176" i="1"/>
  <c r="F176" i="1"/>
  <c r="I175" i="1"/>
  <c r="F175" i="1"/>
  <c r="I174" i="1"/>
  <c r="F174" i="1"/>
  <c r="I173" i="1"/>
  <c r="F173" i="1"/>
  <c r="I164" i="1"/>
  <c r="F164" i="1"/>
  <c r="I163" i="1"/>
  <c r="F163" i="1"/>
  <c r="I162" i="1"/>
  <c r="F162" i="1"/>
  <c r="I161" i="1"/>
  <c r="F161" i="1"/>
  <c r="I152" i="1"/>
  <c r="F152" i="1"/>
  <c r="I119" i="1"/>
  <c r="F119" i="1"/>
  <c r="I118" i="1"/>
  <c r="F118" i="1"/>
  <c r="I117" i="1"/>
  <c r="F117" i="1"/>
  <c r="I116" i="1"/>
  <c r="F116" i="1"/>
  <c r="I107" i="1"/>
  <c r="F107" i="1"/>
  <c r="I106" i="1"/>
  <c r="F106" i="1"/>
  <c r="I105" i="1"/>
  <c r="F105" i="1"/>
  <c r="I104" i="1"/>
  <c r="F104" i="1"/>
  <c r="I95" i="1"/>
  <c r="F95" i="1"/>
  <c r="I94" i="1"/>
  <c r="F94" i="1"/>
  <c r="I93" i="1"/>
  <c r="F93" i="1"/>
  <c r="I92" i="1"/>
  <c r="F92" i="1"/>
  <c r="I82" i="1"/>
  <c r="F82" i="1"/>
  <c r="I81" i="1"/>
  <c r="F81" i="1"/>
  <c r="I80" i="1"/>
  <c r="F80" i="1"/>
  <c r="I79" i="1"/>
  <c r="F79" i="1"/>
  <c r="R152" i="1" l="1"/>
  <c r="T152" i="1" s="1"/>
  <c r="R105" i="1"/>
  <c r="T105" i="1" s="1"/>
  <c r="R117" i="1"/>
  <c r="T117" i="1" s="1"/>
  <c r="R161" i="1"/>
  <c r="T161" i="1" s="1"/>
  <c r="R82" i="1"/>
  <c r="T82" i="1" s="1"/>
  <c r="I40" i="1" s="1"/>
  <c r="R107" i="1"/>
  <c r="T107" i="1" s="1"/>
  <c r="R119" i="1"/>
  <c r="T119" i="1" s="1"/>
  <c r="R163" i="1"/>
  <c r="T163" i="1" s="1"/>
  <c r="R104" i="1"/>
  <c r="T104" i="1" s="1"/>
  <c r="R116" i="1"/>
  <c r="T116" i="1" s="1"/>
  <c r="R164" i="1"/>
  <c r="T164" i="1" s="1"/>
  <c r="R81" i="1"/>
  <c r="T81" i="1" s="1"/>
  <c r="I39" i="1" s="1"/>
  <c r="R94" i="1"/>
  <c r="R106" i="1"/>
  <c r="T106" i="1" s="1"/>
  <c r="R118" i="1"/>
  <c r="T118" i="1" s="1"/>
  <c r="R162" i="1"/>
  <c r="T162" i="1" s="1"/>
  <c r="R92" i="1"/>
  <c r="R95" i="1"/>
  <c r="R93" i="1"/>
  <c r="R80" i="1"/>
  <c r="T80" i="1" s="1"/>
  <c r="I38" i="1" s="1"/>
  <c r="R79" i="1"/>
  <c r="T79" i="1" s="1"/>
  <c r="I37" i="1" s="1"/>
  <c r="R175" i="1"/>
  <c r="T175" i="1" s="1"/>
  <c r="R174" i="1"/>
  <c r="T174" i="1" s="1"/>
  <c r="R176" i="1"/>
  <c r="T176" i="1" s="1"/>
  <c r="R173" i="1"/>
  <c r="T173" i="1" s="1"/>
  <c r="I42" i="1" l="1"/>
  <c r="T92" i="1"/>
  <c r="M37" i="1" s="1"/>
  <c r="T93" i="1"/>
  <c r="M38" i="1" s="1"/>
  <c r="T94" i="1"/>
  <c r="M39" i="1" s="1"/>
  <c r="T95" i="1"/>
  <c r="M40" i="1" s="1"/>
  <c r="M44" i="1" s="1"/>
  <c r="M42" i="1" l="1"/>
  <c r="Q134" i="1"/>
  <c r="P135" i="1"/>
</calcChain>
</file>

<file path=xl/sharedStrings.xml><?xml version="1.0" encoding="utf-8"?>
<sst xmlns="http://schemas.openxmlformats.org/spreadsheetml/2006/main" count="694" uniqueCount="213">
  <si>
    <t>Canadian Malartic GD</t>
  </si>
  <si>
    <t>Valeur d'une once</t>
  </si>
  <si>
    <t>Redevances</t>
  </si>
  <si>
    <t>Total valeur BRUTE</t>
  </si>
  <si>
    <t xml:space="preserve">Total valeur brute </t>
  </si>
  <si>
    <t>Production onces d'or</t>
  </si>
  <si>
    <t>La Ronde</t>
  </si>
  <si>
    <t>Goldex</t>
  </si>
  <si>
    <t>Mouska</t>
  </si>
  <si>
    <t>Westwood</t>
  </si>
  <si>
    <t>Lapa</t>
  </si>
  <si>
    <t>Eleonor</t>
  </si>
  <si>
    <t>Production tm de cuivre</t>
  </si>
  <si>
    <t>Production tm  de zinc</t>
  </si>
  <si>
    <t>prix une tm zinc</t>
  </si>
  <si>
    <t>prix une tm de cuivre</t>
  </si>
  <si>
    <t>AGNICO EAGLE MINES LIMITED</t>
  </si>
  <si>
    <t>HECLA QUÉBEC INC</t>
  </si>
  <si>
    <t>LES MINES OPINACA LTÉ</t>
  </si>
  <si>
    <t>SOCIÉTÉ IAMGOLD</t>
  </si>
  <si>
    <t>CANADIAN MALARTIC GP</t>
  </si>
  <si>
    <t>Production onces d'argent</t>
  </si>
  <si>
    <t>prix une once d'argent</t>
  </si>
  <si>
    <t>Beaufor</t>
  </si>
  <si>
    <t>Zone W</t>
  </si>
  <si>
    <t>Monique</t>
  </si>
  <si>
    <t>MINES RICHMONT INC</t>
  </si>
  <si>
    <t>CORPORATION AURIFÈRE</t>
  </si>
  <si>
    <t>MONARQUES</t>
  </si>
  <si>
    <t>Kiena</t>
  </si>
  <si>
    <t>WESDOME GO</t>
  </si>
  <si>
    <t>LD MINES LTD</t>
  </si>
  <si>
    <t>La Herbin</t>
  </si>
  <si>
    <t>QMX GOLD CORPORATION</t>
  </si>
  <si>
    <t>RESSOURCES MÉTANOR INC.</t>
  </si>
  <si>
    <t>Lac Bachelor</t>
  </si>
  <si>
    <t>RESSOURCES NOTTAWAY INC</t>
  </si>
  <si>
    <t>Vezza</t>
  </si>
  <si>
    <t>Elder</t>
  </si>
  <si>
    <t>MINES ABCOURT INC</t>
  </si>
  <si>
    <t xml:space="preserve">Grand total au puit </t>
  </si>
  <si>
    <t>% au puit</t>
  </si>
  <si>
    <t>% brut</t>
  </si>
  <si>
    <t>Canada, Ontario, Toronto</t>
  </si>
  <si>
    <t>Canada, Ontario,Toronto</t>
  </si>
  <si>
    <t xml:space="preserve">Goldcorp Inc.  Anglo-suisse </t>
  </si>
  <si>
    <t>USA, Idaho, Cœur d'Alène</t>
  </si>
  <si>
    <t>Canada Rouyn</t>
  </si>
  <si>
    <t>Canada, Québec, St-Sauveur</t>
  </si>
  <si>
    <t>Canada, ontario, Toronto</t>
  </si>
  <si>
    <t>Multi-nationale</t>
  </si>
  <si>
    <t>Canada, BC, Vancouver</t>
  </si>
  <si>
    <t>Canada, Québec, Val d'or</t>
  </si>
  <si>
    <t>Groupe Promec</t>
  </si>
  <si>
    <t>Canada, Québec, Rouyn-Noranda</t>
  </si>
  <si>
    <t>INTEGRA GOLD CORP (Eldorado Gold)</t>
  </si>
  <si>
    <r>
      <t xml:space="preserve">( </t>
    </r>
    <r>
      <rPr>
        <b/>
        <sz val="11"/>
        <color theme="1"/>
        <rFont val="Calibri"/>
        <family val="2"/>
        <scheme val="minor"/>
      </rPr>
      <t xml:space="preserve">BONTERRA RESOURCES INC </t>
    </r>
    <r>
      <rPr>
        <sz val="11"/>
        <color theme="1"/>
        <rFont val="Calibri"/>
        <family val="2"/>
        <scheme val="minor"/>
      </rPr>
      <t>sepuis sept 2018)</t>
    </r>
  </si>
  <si>
    <t>Canada S.E.N.C.</t>
  </si>
  <si>
    <t>Arcelomittal  Exploitation minière</t>
  </si>
  <si>
    <t>Mont-Right</t>
  </si>
  <si>
    <t>Fire-Lake</t>
  </si>
  <si>
    <t>Production fer tms</t>
  </si>
  <si>
    <t>Valeur tms</t>
  </si>
  <si>
    <t>Canadian royalties</t>
  </si>
  <si>
    <t>Nunavik Nickel</t>
  </si>
  <si>
    <t>prix une tonne cuivre</t>
  </si>
  <si>
    <t>Valeur tonne</t>
  </si>
  <si>
    <t>Lac des îles</t>
  </si>
  <si>
    <t>Production Graphite t</t>
  </si>
  <si>
    <t>Imerys Mica Suzorite inc.</t>
  </si>
  <si>
    <t>Lac Letondal</t>
  </si>
  <si>
    <t>Productio Mica tc</t>
  </si>
  <si>
    <t>K+S Sel Windsor Limitée</t>
  </si>
  <si>
    <t>Seleine</t>
  </si>
  <si>
    <t>Production Sel tm</t>
  </si>
  <si>
    <t>Minerai de Fer Québec inc</t>
  </si>
  <si>
    <t>Production Fer tms</t>
  </si>
  <si>
    <t>Nyrstar Langlois</t>
  </si>
  <si>
    <t>Langlois</t>
  </si>
  <si>
    <t>Production Zinc tm</t>
  </si>
  <si>
    <t>Production Cuivre tm</t>
  </si>
  <si>
    <t>Valeur tm</t>
  </si>
  <si>
    <t>Rio Tinto Fer et Titane inc.</t>
  </si>
  <si>
    <t>Lac Tio</t>
  </si>
  <si>
    <t>Société de diamant Stornaway (Canada)</t>
  </si>
  <si>
    <t>Renard</t>
  </si>
  <si>
    <t>Glencore Canada Corporation</t>
  </si>
  <si>
    <t>Raglan</t>
  </si>
  <si>
    <t>Bracemac-McLeod</t>
  </si>
  <si>
    <t>Production Nickel tm</t>
  </si>
  <si>
    <t>prix tm</t>
  </si>
  <si>
    <t>Production él. Grp Platine</t>
  </si>
  <si>
    <t xml:space="preserve">prix une once </t>
  </si>
  <si>
    <t>Niobec Incé</t>
  </si>
  <si>
    <t>Niobec</t>
  </si>
  <si>
    <t>Production Niobium kg</t>
  </si>
  <si>
    <t>Valeur kg</t>
  </si>
  <si>
    <t>Tata Steel Mineral Canada</t>
  </si>
  <si>
    <t>Production Fer tmh</t>
  </si>
  <si>
    <t>Valeur tmh</t>
  </si>
  <si>
    <t xml:space="preserve">3409813 Canada Inc </t>
  </si>
  <si>
    <t>Production Feldspathh</t>
  </si>
  <si>
    <t>Production Diamand ct</t>
  </si>
  <si>
    <t>Valeur ct</t>
  </si>
  <si>
    <t>(Dentsply Canada)</t>
  </si>
  <si>
    <t>(Breakwater Ressources) Cnom</t>
  </si>
  <si>
    <t>Production Ilménite tm(s)</t>
  </si>
  <si>
    <t>Production Nickel tms (t?)</t>
  </si>
  <si>
    <t>Othmer</t>
  </si>
  <si>
    <t>Lac Bloom</t>
  </si>
  <si>
    <t>(The bloom Lake Iron ORE Mine)</t>
  </si>
  <si>
    <t>(Limited Partnership)</t>
  </si>
  <si>
    <t>prix une once/troy</t>
  </si>
  <si>
    <t>Grand total brut +ou-</t>
  </si>
  <si>
    <r>
      <t>Grand total brut</t>
    </r>
    <r>
      <rPr>
        <b/>
        <sz val="8"/>
        <color theme="1"/>
        <rFont val="Calibri"/>
        <family val="2"/>
        <scheme val="minor"/>
      </rPr>
      <t xml:space="preserve"> +ou-</t>
    </r>
  </si>
  <si>
    <t xml:space="preserve"> </t>
  </si>
  <si>
    <t>1) Liste mines or et argent</t>
  </si>
  <si>
    <t>Production argent</t>
  </si>
  <si>
    <t>janv</t>
  </si>
  <si>
    <t>févr.</t>
  </si>
  <si>
    <t>mars</t>
  </si>
  <si>
    <t>avr.</t>
  </si>
  <si>
    <t>mai</t>
  </si>
  <si>
    <t>juin</t>
  </si>
  <si>
    <t>juil.</t>
  </si>
  <si>
    <t>août</t>
  </si>
  <si>
    <t>sept.</t>
  </si>
  <si>
    <t>oct.</t>
  </si>
  <si>
    <t>nov.</t>
  </si>
  <si>
    <t>déc.</t>
  </si>
  <si>
    <t>Prix de l'once d'argent</t>
  </si>
  <si>
    <t xml:space="preserve">Prix de l'once d'or </t>
  </si>
  <si>
    <t>US $  à l'origine</t>
  </si>
  <si>
    <t>Moyenne annuelle</t>
  </si>
  <si>
    <t>Prix de tms du fer</t>
  </si>
  <si>
    <t>Devise US</t>
  </si>
  <si>
    <t>Devise CAN</t>
  </si>
  <si>
    <t>US tonne</t>
  </si>
  <si>
    <t>CAN tonne métric</t>
  </si>
  <si>
    <t>t= 2018-2017</t>
  </si>
  <si>
    <t>https://goldprice.org/fr/gold-price-chart.html</t>
  </si>
  <si>
    <t>https://data-bourse.lefigaro.fr/matieres-premieres/Zinc/ZIN_GB-MP</t>
  </si>
  <si>
    <t>LaRonde Zone 5</t>
  </si>
  <si>
    <t>$US</t>
  </si>
  <si>
    <t>$ US</t>
  </si>
  <si>
    <t>Redevances total versées</t>
  </si>
  <si>
    <t>https://www.indexmundi.com/fr/matieres-premieres/?marchandise=minerai-de-fer&amp;mois=120&amp;monnaie=cad</t>
  </si>
  <si>
    <t>fer:</t>
  </si>
  <si>
    <t>Or:</t>
  </si>
  <si>
    <t>Prix de tms du nickel</t>
  </si>
  <si>
    <t>nckel</t>
  </si>
  <si>
    <t>https://www.indexmundi.com/fr/matieres-premieres/?marchandise=nickel&amp;mois=120&amp;monnaie=cad</t>
  </si>
  <si>
    <t>Prix de tms du cuivre</t>
  </si>
  <si>
    <t>cuivre</t>
  </si>
  <si>
    <t>https://www.indexmundi.com/fr/matieres-premieres/?marchandise=cuivre&amp;mois=120&amp;monnaie=cad</t>
  </si>
  <si>
    <t>zinc</t>
  </si>
  <si>
    <t xml:space="preserve">Liens MERN </t>
  </si>
  <si>
    <t xml:space="preserve">Argent </t>
  </si>
  <si>
    <t>https://www.indexmundi.com/fr/matieres-premieres/?marchandise=or&amp;mois=120&amp;monnaie=cad</t>
  </si>
  <si>
    <t>Total</t>
  </si>
  <si>
    <t>Source</t>
  </si>
  <si>
    <t>Fermé</t>
  </si>
  <si>
    <t>Valeur au puit</t>
  </si>
  <si>
    <t>Notes</t>
  </si>
  <si>
    <t>1) Les données de ce document proviennent des documents officiels du MERN. Les calculs des montants bruts de la vente sont calculés à partir de moyennes annuelles des prix de vente des différents métaux. Dépendant de la date de vente des métaux, les montants indiqués dans nos tableaux vont varier.  Les montants de la vente de certains métaux ne sont pas disponibles car ils sont négociés directement avec l'acheteur. Il est donc impossible de faire les calculs des redevances sur le brut.</t>
  </si>
  <si>
    <t>2) Le gouvernement impose des redevances minières sur la valeur au puits plutôt que sur la valeur brute. Ceci permet aux compagnies minières de réduire les redevances à verser. Voir le lien pour la définition de la valeur au puits    https://www.revenuquebec.ca/fr/entreprises/mesures-particulieres/impot-minier/calculer-limpot-minier-minimum/valeur-de-la-production-a-la-tete-du-puits/</t>
  </si>
  <si>
    <t xml:space="preserve">3) Fiscalement, les redevances minières sont considérées comme une dépense, donc une minière peut réduire ses impôts à payer en y appliquant dans la colonne dépenses les redevances versées. Par conséquent, le montant des redevances minières publié à chaque année ne montre pas la partie que récupère une minière en versant moins d'impôts. En d'autres mots, les minières versent d'un côté et récupèrent de l'autre (impôts plus bas). </t>
  </si>
  <si>
    <t>https://mern.gouv.qc.ca/mines/publications/donnees-activite-miniere/</t>
  </si>
  <si>
    <t>https://mern.gouv.qc.ca/wp-content/uploads/Quantite-valeurs-droits-2019-fr-MERN.pdf</t>
  </si>
  <si>
    <t xml:space="preserve">https://mern.gouv.qc.ca/wp-content/uploads/Quantite-valeurs-droits-2018-fr-MERN.pdf </t>
  </si>
  <si>
    <t>https://mern.gouv.qc.ca/wp-content/uploads/quantite-valeurs-droits-2017-fr-MERN.pdf</t>
  </si>
  <si>
    <t>https://mern.gouv.qc.ca/wp-content/uploads/Quantite-valeurs-droits-2020-fr-MERN.pdf</t>
  </si>
  <si>
    <t>Goldcorp Canada</t>
  </si>
  <si>
    <t xml:space="preserve">   </t>
  </si>
  <si>
    <t>Bontera Resources Inc.</t>
  </si>
  <si>
    <t>Prix une once d'argent</t>
  </si>
  <si>
    <t>Casa Berardi mine sous-terre</t>
  </si>
  <si>
    <t>Casa Berardi mine fosse-EMCP</t>
  </si>
  <si>
    <t>Casa Berardi mine fosse-160</t>
  </si>
  <si>
    <t>Géant dormant</t>
  </si>
  <si>
    <t>Moroy (Bulk sample)</t>
  </si>
  <si>
    <t>Production cuivre tms</t>
  </si>
  <si>
    <t>Production or</t>
  </si>
  <si>
    <t>Total valeur brute</t>
  </si>
  <si>
    <t>Redevances versées par Canadian Malartic</t>
  </si>
  <si>
    <t>Moyenne redevances % Valeur au puits</t>
  </si>
  <si>
    <t>Redevance versées par Agnico Eagle</t>
  </si>
  <si>
    <t>https://mrnf.gouv.qc.ca/wp-content/uploads/Quantites-valeurs-droits-2022-MRNF.pdf</t>
  </si>
  <si>
    <t>https://mrnf.gouv.qc.ca/wp-content/uploads/Quantite-valeurs-droits-2021-MRNF.pdf</t>
  </si>
  <si>
    <t>Prix once</t>
  </si>
  <si>
    <t>Goodwood (DSO Timmins)</t>
  </si>
  <si>
    <t xml:space="preserve">Imerys Graphite &amp; Carbone Canada Inc </t>
  </si>
  <si>
    <t>Moyennere devances % Valeur au puit</t>
  </si>
  <si>
    <t>https://mrnf.gouv.qc.ca/wp-content/uploads/Quantite-valeur-droits-2023.pdf</t>
  </si>
  <si>
    <t>Akasaba</t>
  </si>
  <si>
    <t>Canadian Marlartic</t>
  </si>
  <si>
    <t>Appliqué à Canadian Malartic</t>
  </si>
  <si>
    <t>Prix la tonne</t>
  </si>
  <si>
    <t>Valeur au puit Agnico Eagle</t>
  </si>
  <si>
    <t xml:space="preserve">Graphite Nordique </t>
  </si>
  <si>
    <t>Moyenne redevances  % Valeur brute (approximative)</t>
  </si>
  <si>
    <t>https://mrnf.gouv.qc.ca/wp-content/uploads/Quantite-valeur-droits-2016.pdf</t>
  </si>
  <si>
    <t>https://mrnf.gouv.qc.ca/wp-content/uploads/Quantite-valeur-droits-2015.pdf</t>
  </si>
  <si>
    <t>https://mrnf.gouv.qc.ca/wp-content/uploads/Quantite-valeur-droits-2014.pdf</t>
  </si>
  <si>
    <r>
      <t>Valeur au puit      Canadien Malartic</t>
    </r>
    <r>
      <rPr>
        <b/>
        <sz val="11"/>
        <color theme="0"/>
        <rFont val="Calibri"/>
        <family val="2"/>
        <scheme val="minor"/>
      </rPr>
      <t xml:space="preserve"> </t>
    </r>
  </si>
  <si>
    <t>Note: pour 2023 les données combinent CM avec Agnico Aegle le nouveau propriéatire</t>
  </si>
  <si>
    <t>Cobalt</t>
  </si>
  <si>
    <t>Lamaque</t>
  </si>
  <si>
    <t>Redevances minières au Québec 2014-2023</t>
  </si>
  <si>
    <t>Moyenne annuelle entre 2014-2023</t>
  </si>
  <si>
    <t>https://www.indexmundi.com/fr/matieres-premieres/?marchandise=zinc&amp;mois=60&amp;monnaie=cad</t>
  </si>
  <si>
    <t>https://www.exchange-rates.org/fr/metaux-precieux/argent/canada/2024</t>
  </si>
  <si>
    <t>Redevances minières Québec</t>
  </si>
</sst>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44" formatCode="_ * #,##0.00_)\ &quot;$&quot;_ ;_ * \(#,##0.00\)\ &quot;$&quot;_ ;_ * &quot;-&quot;??_)\ &quot;$&quot;_ ;_ @_ "/>
    <numFmt numFmtId="43" formatCode="_ * #,##0.00_)\ _$_ ;_ * \(#,##0.00\)\ _$_ ;_ * &quot;-&quot;??_)\ _$_ ;_ @_ "/>
    <numFmt numFmtId="164" formatCode="_-&quot;$&quot;* #,##0.00_-;\-&quot;$&quot;* #,##0.00_-;_-&quot;$&quot;* &quot;-&quot;??_-;_-@_-"/>
    <numFmt numFmtId="165" formatCode="_ * #,##0_)\ &quot;$&quot;_ ;_ * \(#,##0\)\ &quot;$&quot;_ ;_ * &quot;-&quot;??_)\ &quot;$&quot;_ ;_ @_ "/>
    <numFmt numFmtId="166" formatCode="_ * #,##0_)\ _$_ ;_ * \(#,##0\)\ _$_ ;_ * &quot;-&quot;??_)\ _$_ ;_ @_ "/>
    <numFmt numFmtId="167" formatCode="_ * #,##0.000000_)\ _$_ ;_ * \(#,##0.000000\)\ _$_ ;_ * &quot;-&quot;??_)\ _$_ ;_ @_ "/>
    <numFmt numFmtId="168" formatCode="_ * #,##0_ \ [$$-C0C]_ ;_ * \-#,##0\ \ [$$-C0C]_ ;_ * &quot;-&quot;??_ \ [$$-C0C]_ ;_ @_ "/>
    <numFmt numFmtId="169" formatCode="_ * #,##0.0000_)\ &quot;$&quot;_ ;_ * \(#,##0.0000\)\ &quot;$&quot;_ ;_ * &quot;-&quot;??_)\ &quot;$&quot;_ ;_ @_ "/>
    <numFmt numFmtId="170" formatCode="_ * #,##0.0000_)\ &quot;$&quot;_ ;_ * \(#,##0.0000\)\ &quot;$&quot;_ ;_ * &quot;-&quot;????_)\ &quot;$&quot;_ ;_ @_ "/>
    <numFmt numFmtId="171" formatCode="_ * #,##0_)\ &quot;$&quot;_ ;_ * \(#,##0\)\ &quot;$&quot;_ ;_ * &quot;-&quot;????_)\ &quot;$&quot;_ ;_ @_ "/>
  </numFmts>
  <fonts count="21" x14ac:knownFonts="1">
    <font>
      <sz val="11"/>
      <color theme="1"/>
      <name val="Calibri"/>
      <family val="2"/>
      <scheme val="minor"/>
    </font>
    <font>
      <sz val="11"/>
      <color theme="1"/>
      <name val="Calibri"/>
      <family val="2"/>
      <scheme val="minor"/>
    </font>
    <font>
      <b/>
      <sz val="11"/>
      <color theme="1"/>
      <name val="Calibri"/>
      <family val="2"/>
      <scheme val="minor"/>
    </font>
    <font>
      <sz val="10"/>
      <color theme="1"/>
      <name val="Arial"/>
      <family val="2"/>
    </font>
    <font>
      <sz val="11"/>
      <color theme="0"/>
      <name val="Calibri"/>
      <family val="2"/>
      <scheme val="minor"/>
    </font>
    <font>
      <sz val="11"/>
      <color theme="1"/>
      <name val="Arial"/>
      <family val="2"/>
    </font>
    <font>
      <sz val="11"/>
      <name val="Calibri"/>
      <family val="2"/>
      <scheme val="minor"/>
    </font>
    <font>
      <b/>
      <sz val="11"/>
      <name val="Calibri"/>
      <family val="2"/>
      <scheme val="minor"/>
    </font>
    <font>
      <b/>
      <sz val="11"/>
      <color rgb="FFFF0000"/>
      <name val="Calibri"/>
      <family val="2"/>
      <scheme val="minor"/>
    </font>
    <font>
      <b/>
      <sz val="11"/>
      <color theme="0"/>
      <name val="Calibri"/>
      <family val="2"/>
      <scheme val="minor"/>
    </font>
    <font>
      <sz val="11"/>
      <color rgb="FFFF0000"/>
      <name val="Calibri"/>
      <family val="2"/>
      <scheme val="minor"/>
    </font>
    <font>
      <b/>
      <sz val="8"/>
      <color theme="1"/>
      <name val="Calibri"/>
      <family val="2"/>
      <scheme val="minor"/>
    </font>
    <font>
      <b/>
      <sz val="20"/>
      <color theme="1"/>
      <name val="Calibri"/>
      <family val="2"/>
      <scheme val="minor"/>
    </font>
    <font>
      <sz val="24"/>
      <color theme="1"/>
      <name val="Calibri"/>
      <family val="2"/>
      <scheme val="minor"/>
    </font>
    <font>
      <u/>
      <sz val="11"/>
      <color theme="10"/>
      <name val="Calibri"/>
      <family val="2"/>
      <scheme val="minor"/>
    </font>
    <font>
      <sz val="11"/>
      <color rgb="FFFFC000"/>
      <name val="Calibri"/>
      <family val="2"/>
      <scheme val="minor"/>
    </font>
    <font>
      <b/>
      <sz val="11"/>
      <color theme="8" tint="-0.499984740745262"/>
      <name val="Calibri"/>
      <family val="2"/>
      <scheme val="minor"/>
    </font>
    <font>
      <sz val="11"/>
      <color theme="4" tint="-0.249977111117893"/>
      <name val="Calibri"/>
      <family val="2"/>
      <scheme val="minor"/>
    </font>
    <font>
      <sz val="11"/>
      <color rgb="FF1F1F1F"/>
      <name val="Calibri"/>
      <family val="2"/>
      <scheme val="minor"/>
    </font>
    <font>
      <sz val="8"/>
      <color theme="1"/>
      <name val="Calibri"/>
      <family val="2"/>
      <scheme val="minor"/>
    </font>
    <font>
      <u/>
      <sz val="11"/>
      <color theme="1"/>
      <name val="Calibri"/>
      <family val="2"/>
      <scheme val="minor"/>
    </font>
  </fonts>
  <fills count="24">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2"/>
        <bgColor indexed="64"/>
      </patternFill>
    </fill>
    <fill>
      <patternFill patternType="solid">
        <fgColor theme="4" tint="0.59999389629810485"/>
        <bgColor indexed="64"/>
      </patternFill>
    </fill>
    <fill>
      <patternFill patternType="solid">
        <fgColor theme="1" tint="0.249977111117893"/>
        <bgColor indexed="64"/>
      </patternFill>
    </fill>
    <fill>
      <patternFill patternType="solid">
        <fgColor rgb="FFFFC000"/>
        <bgColor indexed="64"/>
      </patternFill>
    </fill>
    <fill>
      <patternFill patternType="solid">
        <fgColor theme="9" tint="0.59999389629810485"/>
        <bgColor indexed="64"/>
      </patternFill>
    </fill>
    <fill>
      <patternFill patternType="solid">
        <fgColor theme="7"/>
        <bgColor indexed="64"/>
      </patternFill>
    </fill>
    <fill>
      <patternFill patternType="solid">
        <fgColor theme="1"/>
        <bgColor indexed="64"/>
      </patternFill>
    </fill>
    <fill>
      <patternFill patternType="solid">
        <fgColor rgb="FFFF0000"/>
        <bgColor indexed="64"/>
      </patternFill>
    </fill>
    <fill>
      <patternFill patternType="solid">
        <fgColor theme="2" tint="-0.249977111117893"/>
        <bgColor indexed="64"/>
      </patternFill>
    </fill>
    <fill>
      <patternFill patternType="solid">
        <fgColor theme="4" tint="0.39997558519241921"/>
        <bgColor indexed="64"/>
      </patternFill>
    </fill>
    <fill>
      <patternFill patternType="solid">
        <fgColor theme="0" tint="-0.34998626667073579"/>
        <bgColor indexed="64"/>
      </patternFill>
    </fill>
    <fill>
      <patternFill patternType="solid">
        <fgColor theme="9" tint="0.39997558519241921"/>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5" tint="-0.249977111117893"/>
        <bgColor indexed="64"/>
      </patternFill>
    </fill>
    <fill>
      <patternFill patternType="solid">
        <fgColor theme="6" tint="0.79998168889431442"/>
        <bgColor indexed="64"/>
      </patternFill>
    </fill>
    <fill>
      <patternFill patternType="solid">
        <fgColor rgb="FF92D050"/>
        <bgColor indexed="64"/>
      </patternFill>
    </fill>
    <fill>
      <patternFill patternType="solid">
        <fgColor rgb="FFC00000"/>
        <bgColor indexed="64"/>
      </patternFill>
    </fill>
  </fills>
  <borders count="10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style="medium">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right/>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medium">
        <color indexed="64"/>
      </bottom>
      <diagonal/>
    </border>
    <border>
      <left/>
      <right style="medium">
        <color indexed="64"/>
      </right>
      <top style="thin">
        <color indexed="64"/>
      </top>
      <bottom/>
      <diagonal/>
    </border>
    <border>
      <left style="medium">
        <color indexed="64"/>
      </left>
      <right style="medium">
        <color indexed="64"/>
      </right>
      <top style="thin">
        <color indexed="64"/>
      </top>
      <bottom/>
      <diagonal/>
    </border>
    <border>
      <left/>
      <right style="thin">
        <color indexed="64"/>
      </right>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bottom style="thin">
        <color indexed="64"/>
      </bottom>
      <diagonal/>
    </border>
    <border>
      <left style="thin">
        <color indexed="64"/>
      </left>
      <right style="thin">
        <color indexed="64"/>
      </right>
      <top/>
      <bottom style="medium">
        <color indexed="64"/>
      </bottom>
      <diagonal/>
    </border>
    <border>
      <left style="medium">
        <color theme="1"/>
      </left>
      <right style="medium">
        <color theme="1"/>
      </right>
      <top style="medium">
        <color theme="1"/>
      </top>
      <bottom style="medium">
        <color theme="1"/>
      </bottom>
      <diagonal/>
    </border>
    <border>
      <left style="medium">
        <color theme="1"/>
      </left>
      <right style="medium">
        <color theme="1"/>
      </right>
      <top style="medium">
        <color theme="1"/>
      </top>
      <bottom/>
      <diagonal/>
    </border>
    <border>
      <left style="medium">
        <color theme="1"/>
      </left>
      <right style="medium">
        <color theme="1"/>
      </right>
      <top/>
      <bottom/>
      <diagonal/>
    </border>
    <border>
      <left style="medium">
        <color theme="1"/>
      </left>
      <right style="medium">
        <color theme="1"/>
      </right>
      <top/>
      <bottom style="medium">
        <color theme="1"/>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right style="medium">
        <color theme="1"/>
      </right>
      <top style="medium">
        <color theme="1"/>
      </top>
      <bottom/>
      <diagonal/>
    </border>
    <border>
      <left style="thin">
        <color indexed="64"/>
      </left>
      <right style="medium">
        <color indexed="64"/>
      </right>
      <top/>
      <bottom style="medium">
        <color indexed="64"/>
      </bottom>
      <diagonal/>
    </border>
    <border>
      <left style="medium">
        <color theme="1"/>
      </left>
      <right/>
      <top/>
      <bottom/>
      <diagonal/>
    </border>
    <border>
      <left style="medium">
        <color indexed="64"/>
      </left>
      <right style="thin">
        <color indexed="64"/>
      </right>
      <top/>
      <bottom style="thin">
        <color indexed="64"/>
      </bottom>
      <diagonal/>
    </border>
    <border>
      <left style="medium">
        <color theme="1"/>
      </left>
      <right/>
      <top/>
      <bottom style="medium">
        <color theme="1"/>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right/>
      <top/>
      <bottom style="medium">
        <color theme="1"/>
      </bottom>
      <diagonal/>
    </border>
    <border>
      <left style="medium">
        <color theme="1"/>
      </left>
      <right/>
      <top style="medium">
        <color theme="1"/>
      </top>
      <bottom/>
      <diagonal/>
    </border>
    <border>
      <left/>
      <right/>
      <top style="medium">
        <color theme="1"/>
      </top>
      <bottom/>
      <diagonal/>
    </border>
    <border>
      <left/>
      <right style="medium">
        <color theme="1"/>
      </right>
      <top/>
      <bottom/>
      <diagonal/>
    </border>
    <border>
      <left/>
      <right style="medium">
        <color theme="1"/>
      </right>
      <top/>
      <bottom style="medium">
        <color theme="1"/>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medium">
        <color indexed="64"/>
      </right>
      <top style="medium">
        <color indexed="64"/>
      </top>
      <bottom style="medium">
        <color theme="1"/>
      </bottom>
      <diagonal/>
    </border>
    <border>
      <left style="medium">
        <color theme="1"/>
      </left>
      <right style="medium">
        <color theme="1"/>
      </right>
      <top/>
      <bottom style="medium">
        <color indexed="64"/>
      </bottom>
      <diagonal/>
    </border>
    <border>
      <left style="medium">
        <color indexed="64"/>
      </left>
      <right style="medium">
        <color theme="0"/>
      </right>
      <top style="medium">
        <color indexed="64"/>
      </top>
      <bottom/>
      <diagonal/>
    </border>
    <border>
      <left style="medium">
        <color theme="0"/>
      </left>
      <right/>
      <top style="medium">
        <color indexed="64"/>
      </top>
      <bottom/>
      <diagonal/>
    </border>
    <border>
      <left style="thin">
        <color theme="1"/>
      </left>
      <right/>
      <top/>
      <bottom style="thin">
        <color theme="1"/>
      </bottom>
      <diagonal/>
    </border>
    <border>
      <left style="thin">
        <color theme="1"/>
      </left>
      <right/>
      <top style="thin">
        <color theme="1"/>
      </top>
      <bottom style="thin">
        <color theme="1"/>
      </bottom>
      <diagonal/>
    </border>
    <border>
      <left/>
      <right/>
      <top style="thin">
        <color theme="1"/>
      </top>
      <bottom/>
      <diagonal/>
    </border>
    <border>
      <left style="medium">
        <color indexed="64"/>
      </left>
      <right style="medium">
        <color theme="0"/>
      </right>
      <top/>
      <bottom style="medium">
        <color indexed="64"/>
      </bottom>
      <diagonal/>
    </border>
    <border>
      <left style="medium">
        <color theme="0"/>
      </left>
      <right/>
      <top/>
      <bottom style="medium">
        <color indexed="64"/>
      </bottom>
      <diagonal/>
    </border>
    <border>
      <left style="thin">
        <color indexed="64"/>
      </left>
      <right style="medium">
        <color indexed="64"/>
      </right>
      <top/>
      <bottom style="thin">
        <color indexed="64"/>
      </bottom>
      <diagonal/>
    </border>
  </borders>
  <cellStyleXfs count="5">
    <xf numFmtId="0" fontId="0" fillId="0" borderId="0"/>
    <xf numFmtId="44"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0" fontId="14" fillId="0" borderId="0" applyNumberFormat="0" applyFill="0" applyBorder="0" applyAlignment="0" applyProtection="0"/>
  </cellStyleXfs>
  <cellXfs count="1551">
    <xf numFmtId="0" fontId="0" fillId="0" borderId="0" xfId="0"/>
    <xf numFmtId="3" fontId="0" fillId="0" borderId="0" xfId="0" applyNumberFormat="1"/>
    <xf numFmtId="0" fontId="0" fillId="3" borderId="0" xfId="0" applyFill="1"/>
    <xf numFmtId="3" fontId="0" fillId="4" borderId="1" xfId="0" applyNumberFormat="1" applyFill="1" applyBorder="1"/>
    <xf numFmtId="44" fontId="0" fillId="4" borderId="1" xfId="1" applyFont="1" applyFill="1" applyBorder="1"/>
    <xf numFmtId="44" fontId="0" fillId="4" borderId="1" xfId="0" applyNumberFormat="1" applyFill="1" applyBorder="1"/>
    <xf numFmtId="3" fontId="0" fillId="2" borderId="1" xfId="0" applyNumberFormat="1" applyFill="1" applyBorder="1"/>
    <xf numFmtId="44" fontId="0" fillId="2" borderId="1" xfId="1" applyFont="1" applyFill="1" applyBorder="1"/>
    <xf numFmtId="44" fontId="0" fillId="2" borderId="1" xfId="0" applyNumberFormat="1" applyFill="1" applyBorder="1"/>
    <xf numFmtId="44" fontId="0" fillId="3" borderId="3" xfId="0" applyNumberFormat="1" applyFill="1" applyBorder="1"/>
    <xf numFmtId="44" fontId="0" fillId="3" borderId="1" xfId="0" applyNumberFormat="1" applyFill="1" applyBorder="1"/>
    <xf numFmtId="0" fontId="5" fillId="0" borderId="0" xfId="0" applyFont="1" applyAlignment="1">
      <alignment vertical="center"/>
    </xf>
    <xf numFmtId="0" fontId="0" fillId="0" borderId="5" xfId="0" applyBorder="1"/>
    <xf numFmtId="0" fontId="0" fillId="5" borderId="8" xfId="0" applyFill="1" applyBorder="1"/>
    <xf numFmtId="0" fontId="0" fillId="0" borderId="0" xfId="0" applyBorder="1"/>
    <xf numFmtId="3" fontId="0" fillId="4" borderId="0" xfId="0" applyNumberFormat="1" applyFill="1" applyBorder="1"/>
    <xf numFmtId="0" fontId="0" fillId="0" borderId="10" xfId="0" applyBorder="1"/>
    <xf numFmtId="0" fontId="0" fillId="3" borderId="0" xfId="0" applyFill="1" applyBorder="1"/>
    <xf numFmtId="0" fontId="0" fillId="5" borderId="11" xfId="0" applyFill="1" applyBorder="1"/>
    <xf numFmtId="3" fontId="0" fillId="4" borderId="12" xfId="0" applyNumberFormat="1" applyFill="1" applyBorder="1"/>
    <xf numFmtId="44" fontId="0" fillId="4" borderId="12" xfId="1" applyFont="1" applyFill="1" applyBorder="1"/>
    <xf numFmtId="44" fontId="0" fillId="4" borderId="12" xfId="0" applyNumberFormat="1" applyFill="1" applyBorder="1"/>
    <xf numFmtId="3" fontId="0" fillId="2" borderId="12" xfId="0" applyNumberFormat="1" applyFill="1" applyBorder="1"/>
    <xf numFmtId="44" fontId="0" fillId="2" borderId="12" xfId="1" applyFont="1" applyFill="1" applyBorder="1"/>
    <xf numFmtId="44" fontId="0" fillId="2" borderId="12" xfId="0" applyNumberFormat="1" applyFill="1" applyBorder="1"/>
    <xf numFmtId="44" fontId="0" fillId="3" borderId="12" xfId="0" applyNumberFormat="1" applyFill="1" applyBorder="1"/>
    <xf numFmtId="0" fontId="0" fillId="0" borderId="14" xfId="0" applyBorder="1"/>
    <xf numFmtId="0" fontId="0" fillId="0" borderId="15" xfId="0" applyBorder="1"/>
    <xf numFmtId="0" fontId="0" fillId="5" borderId="16" xfId="0" applyFill="1" applyBorder="1"/>
    <xf numFmtId="0" fontId="0" fillId="5" borderId="17" xfId="0" applyFill="1" applyBorder="1"/>
    <xf numFmtId="0" fontId="0" fillId="5" borderId="18" xfId="0" applyFill="1" applyBorder="1"/>
    <xf numFmtId="0" fontId="2" fillId="5" borderId="17" xfId="0" applyFont="1" applyFill="1" applyBorder="1"/>
    <xf numFmtId="0" fontId="2" fillId="5" borderId="17" xfId="0" applyFont="1" applyFill="1" applyBorder="1" applyAlignment="1">
      <alignment horizontal="center"/>
    </xf>
    <xf numFmtId="0" fontId="2" fillId="5" borderId="8" xfId="0" applyFont="1" applyFill="1" applyBorder="1" applyAlignment="1">
      <alignment horizontal="center"/>
    </xf>
    <xf numFmtId="0" fontId="0" fillId="2" borderId="12" xfId="0" applyFill="1" applyBorder="1"/>
    <xf numFmtId="0" fontId="0" fillId="0" borderId="0" xfId="0" applyFill="1" applyBorder="1"/>
    <xf numFmtId="0" fontId="0" fillId="0" borderId="0" xfId="0" applyFill="1"/>
    <xf numFmtId="3" fontId="0" fillId="0" borderId="0" xfId="0" applyNumberFormat="1" applyFill="1" applyBorder="1"/>
    <xf numFmtId="44" fontId="0" fillId="0" borderId="0" xfId="1" applyFont="1" applyFill="1" applyBorder="1"/>
    <xf numFmtId="44" fontId="0" fillId="0" borderId="0" xfId="0" applyNumberFormat="1" applyFill="1" applyBorder="1"/>
    <xf numFmtId="10" fontId="0" fillId="0" borderId="0" xfId="2" applyNumberFormat="1" applyFont="1" applyFill="1" applyBorder="1"/>
    <xf numFmtId="3" fontId="5" fillId="0" borderId="0" xfId="0" applyNumberFormat="1" applyFont="1" applyAlignment="1">
      <alignment vertical="center"/>
    </xf>
    <xf numFmtId="0" fontId="2" fillId="4" borderId="23" xfId="0" applyFont="1" applyFill="1" applyBorder="1" applyAlignment="1">
      <alignment horizontal="center"/>
    </xf>
    <xf numFmtId="0" fontId="2" fillId="2" borderId="23" xfId="0" applyFont="1" applyFill="1" applyBorder="1" applyAlignment="1">
      <alignment horizontal="center"/>
    </xf>
    <xf numFmtId="0" fontId="2" fillId="8" borderId="22" xfId="0" applyFont="1" applyFill="1" applyBorder="1" applyAlignment="1">
      <alignment horizontal="center"/>
    </xf>
    <xf numFmtId="0" fontId="2" fillId="3" borderId="23" xfId="0" applyFont="1" applyFill="1" applyBorder="1" applyAlignment="1">
      <alignment horizontal="center"/>
    </xf>
    <xf numFmtId="0" fontId="2" fillId="7" borderId="28" xfId="0" applyFont="1" applyFill="1" applyBorder="1" applyAlignment="1">
      <alignment horizontal="center"/>
    </xf>
    <xf numFmtId="44" fontId="0" fillId="3" borderId="31" xfId="0" applyNumberFormat="1" applyFill="1" applyBorder="1"/>
    <xf numFmtId="0" fontId="2" fillId="4" borderId="35" xfId="0" applyFont="1" applyFill="1" applyBorder="1" applyAlignment="1">
      <alignment horizontal="center"/>
    </xf>
    <xf numFmtId="0" fontId="2" fillId="2" borderId="35" xfId="0" applyFont="1" applyFill="1" applyBorder="1" applyAlignment="1">
      <alignment horizontal="center"/>
    </xf>
    <xf numFmtId="0" fontId="2" fillId="3" borderId="35" xfId="0" applyFont="1" applyFill="1" applyBorder="1" applyAlignment="1">
      <alignment horizontal="center"/>
    </xf>
    <xf numFmtId="0" fontId="2" fillId="7" borderId="38" xfId="0" applyFont="1" applyFill="1" applyBorder="1" applyAlignment="1">
      <alignment horizontal="center"/>
    </xf>
    <xf numFmtId="0" fontId="2" fillId="0" borderId="41" xfId="0" applyFont="1" applyBorder="1" applyAlignment="1">
      <alignment horizontal="center"/>
    </xf>
    <xf numFmtId="3" fontId="0" fillId="4" borderId="33" xfId="0" applyNumberFormat="1" applyFill="1" applyBorder="1"/>
    <xf numFmtId="44" fontId="0" fillId="4" borderId="33" xfId="0" applyNumberFormat="1" applyFill="1" applyBorder="1"/>
    <xf numFmtId="44" fontId="0" fillId="3" borderId="39" xfId="0" applyNumberFormat="1" applyFill="1" applyBorder="1"/>
    <xf numFmtId="44" fontId="0" fillId="3" borderId="25" xfId="0" applyNumberFormat="1" applyFill="1" applyBorder="1"/>
    <xf numFmtId="44" fontId="0" fillId="3" borderId="26" xfId="0" applyNumberFormat="1" applyFill="1" applyBorder="1"/>
    <xf numFmtId="0" fontId="2" fillId="3" borderId="24" xfId="0" applyFont="1" applyFill="1" applyBorder="1" applyAlignment="1">
      <alignment horizontal="center"/>
    </xf>
    <xf numFmtId="44" fontId="0" fillId="3" borderId="2" xfId="0" applyNumberFormat="1" applyFill="1" applyBorder="1"/>
    <xf numFmtId="10" fontId="4" fillId="6" borderId="32" xfId="2" applyNumberFormat="1" applyFont="1" applyFill="1" applyBorder="1"/>
    <xf numFmtId="10" fontId="4" fillId="6" borderId="9" xfId="2" applyNumberFormat="1" applyFont="1" applyFill="1" applyBorder="1"/>
    <xf numFmtId="10" fontId="4" fillId="6" borderId="13" xfId="2" applyNumberFormat="1" applyFont="1" applyFill="1" applyBorder="1"/>
    <xf numFmtId="10" fontId="4" fillId="6" borderId="22" xfId="2" applyNumberFormat="1" applyFont="1" applyFill="1" applyBorder="1"/>
    <xf numFmtId="0" fontId="4" fillId="0" borderId="0" xfId="0" applyFont="1"/>
    <xf numFmtId="10" fontId="4" fillId="6" borderId="43" xfId="0" applyNumberFormat="1" applyFont="1" applyFill="1" applyBorder="1"/>
    <xf numFmtId="9" fontId="4" fillId="6" borderId="44" xfId="2" applyFont="1" applyFill="1" applyBorder="1"/>
    <xf numFmtId="44" fontId="0" fillId="2" borderId="33" xfId="0" applyNumberFormat="1" applyFill="1" applyBorder="1"/>
    <xf numFmtId="44" fontId="0" fillId="3" borderId="46" xfId="0" applyNumberFormat="1" applyFill="1" applyBorder="1"/>
    <xf numFmtId="0" fontId="2" fillId="3" borderId="47" xfId="0" applyFont="1" applyFill="1" applyBorder="1" applyAlignment="1">
      <alignment horizontal="center"/>
    </xf>
    <xf numFmtId="0" fontId="8" fillId="0" borderId="0" xfId="0" applyFont="1"/>
    <xf numFmtId="0" fontId="2" fillId="3" borderId="50" xfId="0" applyFont="1" applyFill="1" applyBorder="1" applyAlignment="1">
      <alignment horizontal="center"/>
    </xf>
    <xf numFmtId="0" fontId="2" fillId="0" borderId="40" xfId="0" applyFont="1" applyBorder="1" applyAlignment="1">
      <alignment horizontal="center"/>
    </xf>
    <xf numFmtId="0" fontId="2" fillId="2" borderId="36" xfId="0" applyFont="1" applyFill="1" applyBorder="1" applyAlignment="1">
      <alignment horizontal="center"/>
    </xf>
    <xf numFmtId="0" fontId="2" fillId="3" borderId="41" xfId="0" applyFont="1" applyFill="1" applyBorder="1" applyAlignment="1">
      <alignment horizontal="center"/>
    </xf>
    <xf numFmtId="0" fontId="0" fillId="0" borderId="16" xfId="0" applyBorder="1"/>
    <xf numFmtId="0" fontId="0" fillId="0" borderId="51" xfId="0" applyBorder="1"/>
    <xf numFmtId="0" fontId="0" fillId="0" borderId="52" xfId="0" applyBorder="1"/>
    <xf numFmtId="0" fontId="0" fillId="5" borderId="4" xfId="0" applyFill="1" applyBorder="1"/>
    <xf numFmtId="0" fontId="0" fillId="0" borderId="53" xfId="0" applyBorder="1"/>
    <xf numFmtId="0" fontId="0" fillId="0" borderId="17" xfId="0" applyBorder="1"/>
    <xf numFmtId="0" fontId="0" fillId="0" borderId="45" xfId="0" applyBorder="1"/>
    <xf numFmtId="0" fontId="0" fillId="0" borderId="48" xfId="0" applyBorder="1"/>
    <xf numFmtId="10" fontId="4" fillId="6" borderId="42" xfId="0" applyNumberFormat="1" applyFont="1" applyFill="1" applyBorder="1"/>
    <xf numFmtId="10" fontId="4" fillId="6" borderId="54" xfId="0" applyNumberFormat="1" applyFont="1" applyFill="1" applyBorder="1"/>
    <xf numFmtId="0" fontId="2" fillId="7" borderId="16" xfId="0" applyFont="1" applyFill="1" applyBorder="1" applyAlignment="1">
      <alignment horizontal="center"/>
    </xf>
    <xf numFmtId="0" fontId="2" fillId="7" borderId="48" xfId="0" applyFont="1" applyFill="1" applyBorder="1" applyAlignment="1">
      <alignment horizontal="center"/>
    </xf>
    <xf numFmtId="0" fontId="2" fillId="8" borderId="16" xfId="0" applyFont="1" applyFill="1" applyBorder="1" applyAlignment="1">
      <alignment horizontal="center"/>
    </xf>
    <xf numFmtId="0" fontId="2" fillId="8" borderId="28" xfId="0" applyFont="1" applyFill="1" applyBorder="1" applyAlignment="1">
      <alignment horizontal="center"/>
    </xf>
    <xf numFmtId="10" fontId="4" fillId="6" borderId="59" xfId="2" applyNumberFormat="1" applyFont="1" applyFill="1" applyBorder="1"/>
    <xf numFmtId="10" fontId="4" fillId="6" borderId="53" xfId="0" applyNumberFormat="1" applyFont="1" applyFill="1" applyBorder="1"/>
    <xf numFmtId="10" fontId="4" fillId="6" borderId="51" xfId="0" applyNumberFormat="1" applyFont="1" applyFill="1" applyBorder="1"/>
    <xf numFmtId="9" fontId="4" fillId="6" borderId="52" xfId="2" applyFont="1" applyFill="1" applyBorder="1"/>
    <xf numFmtId="10" fontId="4" fillId="6" borderId="28" xfId="2" applyNumberFormat="1" applyFont="1" applyFill="1" applyBorder="1"/>
    <xf numFmtId="10" fontId="4" fillId="6" borderId="43" xfId="2" applyNumberFormat="1" applyFont="1" applyFill="1" applyBorder="1"/>
    <xf numFmtId="10" fontId="4" fillId="6" borderId="44" xfId="2" applyNumberFormat="1" applyFont="1" applyFill="1" applyBorder="1"/>
    <xf numFmtId="10" fontId="4" fillId="6" borderId="60" xfId="2" applyNumberFormat="1" applyFont="1" applyFill="1" applyBorder="1"/>
    <xf numFmtId="10" fontId="4" fillId="6" borderId="10" xfId="2" applyNumberFormat="1" applyFont="1" applyFill="1" applyBorder="1"/>
    <xf numFmtId="0" fontId="2" fillId="8" borderId="48" xfId="0" applyFont="1" applyFill="1" applyBorder="1" applyAlignment="1">
      <alignment horizontal="center"/>
    </xf>
    <xf numFmtId="0" fontId="2" fillId="8" borderId="38" xfId="0" applyFont="1" applyFill="1" applyBorder="1" applyAlignment="1">
      <alignment horizontal="center"/>
    </xf>
    <xf numFmtId="10" fontId="4" fillId="6" borderId="16" xfId="2" applyNumberFormat="1" applyFont="1" applyFill="1" applyBorder="1"/>
    <xf numFmtId="10" fontId="4" fillId="6" borderId="61" xfId="2" applyNumberFormat="1" applyFont="1" applyFill="1" applyBorder="1"/>
    <xf numFmtId="10" fontId="4" fillId="6" borderId="53" xfId="2" applyNumberFormat="1" applyFont="1" applyFill="1" applyBorder="1"/>
    <xf numFmtId="0" fontId="2" fillId="8" borderId="47" xfId="0" applyFont="1" applyFill="1" applyBorder="1" applyAlignment="1">
      <alignment horizontal="center"/>
    </xf>
    <xf numFmtId="0" fontId="0" fillId="5" borderId="17" xfId="0" applyFill="1" applyBorder="1" applyAlignment="1">
      <alignment horizontal="center"/>
    </xf>
    <xf numFmtId="0" fontId="0" fillId="5" borderId="8" xfId="0" applyFill="1" applyBorder="1" applyAlignment="1">
      <alignment horizontal="center"/>
    </xf>
    <xf numFmtId="0" fontId="0" fillId="5" borderId="18" xfId="0" applyFill="1" applyBorder="1" applyAlignment="1">
      <alignment horizontal="center"/>
    </xf>
    <xf numFmtId="0" fontId="2" fillId="0" borderId="0" xfId="0" applyFont="1" applyBorder="1" applyAlignment="1">
      <alignment horizontal="center"/>
    </xf>
    <xf numFmtId="0" fontId="0" fillId="0" borderId="4" xfId="0" applyBorder="1"/>
    <xf numFmtId="0" fontId="2" fillId="0" borderId="29" xfId="0" applyFont="1" applyBorder="1" applyAlignment="1">
      <alignment horizontal="center"/>
    </xf>
    <xf numFmtId="0" fontId="0" fillId="0" borderId="1" xfId="0" applyBorder="1"/>
    <xf numFmtId="0" fontId="2" fillId="3" borderId="62" xfId="0" applyFont="1" applyFill="1" applyBorder="1" applyAlignment="1">
      <alignment horizontal="center"/>
    </xf>
    <xf numFmtId="0" fontId="2" fillId="3" borderId="31" xfId="0" applyFont="1" applyFill="1" applyBorder="1" applyAlignment="1">
      <alignment horizontal="center"/>
    </xf>
    <xf numFmtId="0" fontId="0" fillId="0" borderId="63" xfId="0" applyBorder="1"/>
    <xf numFmtId="0" fontId="0" fillId="0" borderId="64" xfId="0" applyBorder="1"/>
    <xf numFmtId="0" fontId="0" fillId="0" borderId="8" xfId="0" applyBorder="1"/>
    <xf numFmtId="0" fontId="2" fillId="10" borderId="23" xfId="0" applyFont="1" applyFill="1" applyBorder="1" applyAlignment="1">
      <alignment horizontal="center"/>
    </xf>
    <xf numFmtId="0" fontId="2" fillId="10" borderId="24" xfId="0" applyFont="1" applyFill="1" applyBorder="1" applyAlignment="1">
      <alignment horizontal="center"/>
    </xf>
    <xf numFmtId="0" fontId="2" fillId="10" borderId="16" xfId="0" applyFont="1" applyFill="1" applyBorder="1" applyAlignment="1">
      <alignment horizontal="center"/>
    </xf>
    <xf numFmtId="0" fontId="2" fillId="10" borderId="28" xfId="0" applyFont="1" applyFill="1" applyBorder="1" applyAlignment="1">
      <alignment horizontal="center"/>
    </xf>
    <xf numFmtId="3" fontId="0" fillId="10" borderId="23" xfId="0" applyNumberFormat="1" applyFill="1" applyBorder="1"/>
    <xf numFmtId="44" fontId="0" fillId="10" borderId="23" xfId="0" applyNumberFormat="1" applyFill="1" applyBorder="1"/>
    <xf numFmtId="44" fontId="0" fillId="10" borderId="24" xfId="0" applyNumberFormat="1" applyFill="1" applyBorder="1"/>
    <xf numFmtId="44" fontId="0" fillId="10" borderId="53" xfId="1" applyFont="1" applyFill="1" applyBorder="1"/>
    <xf numFmtId="10" fontId="0" fillId="10" borderId="54" xfId="0" applyNumberFormat="1" applyFill="1" applyBorder="1"/>
    <xf numFmtId="44" fontId="0" fillId="10" borderId="16" xfId="1" applyFont="1" applyFill="1" applyBorder="1"/>
    <xf numFmtId="10" fontId="0" fillId="10" borderId="28" xfId="2" applyNumberFormat="1" applyFont="1" applyFill="1" applyBorder="1"/>
    <xf numFmtId="3" fontId="0" fillId="10" borderId="1" xfId="0" applyNumberFormat="1" applyFill="1" applyBorder="1"/>
    <xf numFmtId="44" fontId="0" fillId="10" borderId="1" xfId="1" applyFont="1" applyFill="1" applyBorder="1"/>
    <xf numFmtId="44" fontId="0" fillId="10" borderId="1" xfId="0" applyNumberFormat="1" applyFill="1" applyBorder="1"/>
    <xf numFmtId="44" fontId="0" fillId="10" borderId="25" xfId="0" applyNumberFormat="1" applyFill="1" applyBorder="1"/>
    <xf numFmtId="44" fontId="0" fillId="10" borderId="51" xfId="1" applyFont="1" applyFill="1" applyBorder="1"/>
    <xf numFmtId="10" fontId="0" fillId="10" borderId="43" xfId="0" applyNumberFormat="1" applyFill="1" applyBorder="1"/>
    <xf numFmtId="10" fontId="0" fillId="10" borderId="43" xfId="2" applyNumberFormat="1" applyFont="1" applyFill="1" applyBorder="1"/>
    <xf numFmtId="44" fontId="0" fillId="10" borderId="52" xfId="1" applyFont="1" applyFill="1" applyBorder="1"/>
    <xf numFmtId="10" fontId="0" fillId="10" borderId="44" xfId="2" applyNumberFormat="1" applyFont="1" applyFill="1" applyBorder="1"/>
    <xf numFmtId="0" fontId="0" fillId="10" borderId="31" xfId="0" applyFont="1" applyFill="1" applyBorder="1" applyAlignment="1">
      <alignment horizontal="center"/>
    </xf>
    <xf numFmtId="0" fontId="0" fillId="10" borderId="39" xfId="0" applyFont="1" applyFill="1" applyBorder="1" applyAlignment="1">
      <alignment horizontal="center"/>
    </xf>
    <xf numFmtId="0" fontId="0" fillId="10" borderId="62" xfId="0" applyFont="1" applyFill="1" applyBorder="1" applyAlignment="1">
      <alignment horizontal="center"/>
    </xf>
    <xf numFmtId="0" fontId="0" fillId="10" borderId="16" xfId="0" applyFont="1" applyFill="1" applyBorder="1" applyAlignment="1">
      <alignment horizontal="center"/>
    </xf>
    <xf numFmtId="0" fontId="0" fillId="10" borderId="10" xfId="0" applyFont="1" applyFill="1" applyBorder="1" applyAlignment="1">
      <alignment horizontal="center"/>
    </xf>
    <xf numFmtId="0" fontId="2" fillId="10" borderId="31" xfId="0" applyFont="1" applyFill="1" applyBorder="1" applyAlignment="1">
      <alignment horizontal="center"/>
    </xf>
    <xf numFmtId="0" fontId="2" fillId="10" borderId="39" xfId="0" applyFont="1" applyFill="1" applyBorder="1" applyAlignment="1">
      <alignment horizontal="center"/>
    </xf>
    <xf numFmtId="0" fontId="2" fillId="10" borderId="62" xfId="0" applyFont="1" applyFill="1" applyBorder="1" applyAlignment="1">
      <alignment horizontal="center"/>
    </xf>
    <xf numFmtId="0" fontId="2" fillId="10" borderId="10" xfId="0" applyFont="1" applyFill="1" applyBorder="1" applyAlignment="1">
      <alignment horizontal="center"/>
    </xf>
    <xf numFmtId="44" fontId="0" fillId="10" borderId="33" xfId="0" applyNumberFormat="1" applyFill="1" applyBorder="1"/>
    <xf numFmtId="10" fontId="0" fillId="10" borderId="51" xfId="0" applyNumberFormat="1" applyFill="1" applyBorder="1"/>
    <xf numFmtId="44" fontId="0" fillId="10" borderId="31" xfId="0" applyNumberFormat="1" applyFill="1" applyBorder="1"/>
    <xf numFmtId="44" fontId="0" fillId="10" borderId="39" xfId="0" applyNumberFormat="1" applyFill="1" applyBorder="1"/>
    <xf numFmtId="10" fontId="0" fillId="10" borderId="10" xfId="2" applyNumberFormat="1" applyFont="1" applyFill="1" applyBorder="1"/>
    <xf numFmtId="0" fontId="2" fillId="5" borderId="8" xfId="0" applyFont="1" applyFill="1" applyBorder="1"/>
    <xf numFmtId="0" fontId="0" fillId="5" borderId="11" xfId="0" applyFill="1" applyBorder="1" applyAlignment="1">
      <alignment horizontal="center"/>
    </xf>
    <xf numFmtId="0" fontId="2" fillId="10" borderId="6" xfId="0" applyFont="1" applyFill="1" applyBorder="1" applyAlignment="1">
      <alignment horizontal="center"/>
    </xf>
    <xf numFmtId="0" fontId="2" fillId="10" borderId="49" xfId="0" applyFont="1" applyFill="1" applyBorder="1" applyAlignment="1">
      <alignment horizontal="center"/>
    </xf>
    <xf numFmtId="0" fontId="2" fillId="10" borderId="54" xfId="0" applyFont="1" applyFill="1" applyBorder="1" applyAlignment="1">
      <alignment horizontal="center"/>
    </xf>
    <xf numFmtId="0" fontId="2" fillId="10" borderId="55" xfId="0" applyFont="1" applyFill="1" applyBorder="1" applyAlignment="1">
      <alignment horizontal="center"/>
    </xf>
    <xf numFmtId="10" fontId="0" fillId="10" borderId="53" xfId="0" applyNumberFormat="1" applyFill="1" applyBorder="1"/>
    <xf numFmtId="165" fontId="0" fillId="0" borderId="0" xfId="1" applyNumberFormat="1" applyFont="1" applyFill="1" applyBorder="1"/>
    <xf numFmtId="165" fontId="0" fillId="0" borderId="0" xfId="0" applyNumberFormat="1"/>
    <xf numFmtId="165" fontId="0" fillId="0" borderId="1" xfId="1" applyNumberFormat="1" applyFont="1" applyFill="1" applyBorder="1"/>
    <xf numFmtId="165" fontId="0" fillId="0" borderId="1" xfId="0" applyNumberFormat="1" applyBorder="1"/>
    <xf numFmtId="0" fontId="0" fillId="0" borderId="19" xfId="0" applyBorder="1"/>
    <xf numFmtId="0" fontId="0" fillId="0" borderId="20" xfId="0" applyBorder="1"/>
    <xf numFmtId="10" fontId="0" fillId="10" borderId="51" xfId="2" applyNumberFormat="1" applyFont="1" applyFill="1" applyBorder="1"/>
    <xf numFmtId="44" fontId="0" fillId="10" borderId="12" xfId="1" applyFont="1" applyFill="1" applyBorder="1"/>
    <xf numFmtId="44" fontId="0" fillId="10" borderId="12" xfId="0" applyNumberFormat="1" applyFill="1" applyBorder="1"/>
    <xf numFmtId="44" fontId="0" fillId="10" borderId="26" xfId="0" applyNumberFormat="1" applyFill="1" applyBorder="1"/>
    <xf numFmtId="10" fontId="0" fillId="10" borderId="52" xfId="2" applyNumberFormat="1" applyFont="1" applyFill="1" applyBorder="1"/>
    <xf numFmtId="9" fontId="0" fillId="10" borderId="52" xfId="2" applyFont="1" applyFill="1" applyBorder="1"/>
    <xf numFmtId="0" fontId="5" fillId="10" borderId="51" xfId="0" applyFont="1" applyFill="1" applyBorder="1" applyAlignment="1">
      <alignment vertical="center"/>
    </xf>
    <xf numFmtId="0" fontId="0" fillId="0" borderId="25" xfId="0" applyBorder="1"/>
    <xf numFmtId="0" fontId="0" fillId="12" borderId="16" xfId="0" applyFill="1" applyBorder="1"/>
    <xf numFmtId="0" fontId="0" fillId="12" borderId="17" xfId="0" applyFill="1" applyBorder="1"/>
    <xf numFmtId="0" fontId="2" fillId="12" borderId="17" xfId="0" applyFont="1" applyFill="1" applyBorder="1" applyAlignment="1">
      <alignment horizontal="center"/>
    </xf>
    <xf numFmtId="0" fontId="0" fillId="12" borderId="17" xfId="0" applyFill="1" applyBorder="1" applyAlignment="1">
      <alignment horizontal="center"/>
    </xf>
    <xf numFmtId="0" fontId="0" fillId="12" borderId="8" xfId="0" applyFill="1" applyBorder="1"/>
    <xf numFmtId="0" fontId="0" fillId="12" borderId="11" xfId="0" applyFill="1" applyBorder="1"/>
    <xf numFmtId="44" fontId="0" fillId="0" borderId="1" xfId="1" applyFont="1" applyFill="1" applyBorder="1"/>
    <xf numFmtId="44" fontId="0" fillId="0" borderId="1" xfId="0" applyNumberFormat="1" applyFill="1" applyBorder="1"/>
    <xf numFmtId="44" fontId="0" fillId="0" borderId="25" xfId="0" applyNumberFormat="1" applyFill="1" applyBorder="1"/>
    <xf numFmtId="44" fontId="0" fillId="0" borderId="12" xfId="1" applyFont="1" applyFill="1" applyBorder="1"/>
    <xf numFmtId="44" fontId="0" fillId="0" borderId="12" xfId="0" applyNumberFormat="1" applyFill="1" applyBorder="1"/>
    <xf numFmtId="0" fontId="0" fillId="12" borderId="18" xfId="0" applyFill="1" applyBorder="1"/>
    <xf numFmtId="44" fontId="0" fillId="0" borderId="46" xfId="0" applyNumberFormat="1" applyFill="1" applyBorder="1"/>
    <xf numFmtId="10" fontId="0" fillId="0" borderId="51" xfId="2" applyNumberFormat="1" applyFont="1" applyFill="1" applyBorder="1"/>
    <xf numFmtId="44" fontId="0" fillId="0" borderId="26" xfId="0" applyNumberFormat="1" applyFill="1" applyBorder="1"/>
    <xf numFmtId="0" fontId="0" fillId="14" borderId="16" xfId="0" applyFill="1" applyBorder="1"/>
    <xf numFmtId="0" fontId="0" fillId="14" borderId="17" xfId="0" applyFill="1" applyBorder="1" applyAlignment="1">
      <alignment horizontal="center"/>
    </xf>
    <xf numFmtId="0" fontId="0" fillId="14" borderId="8" xfId="0" applyFill="1" applyBorder="1"/>
    <xf numFmtId="0" fontId="0" fillId="14" borderId="11" xfId="0" applyFill="1" applyBorder="1"/>
    <xf numFmtId="10" fontId="0" fillId="0" borderId="51" xfId="0" applyNumberFormat="1" applyFill="1" applyBorder="1"/>
    <xf numFmtId="0" fontId="0" fillId="0" borderId="66" xfId="0" applyBorder="1"/>
    <xf numFmtId="0" fontId="2" fillId="0" borderId="4" xfId="0" applyFont="1" applyBorder="1" applyAlignment="1">
      <alignment horizontal="center" vertical="center"/>
    </xf>
    <xf numFmtId="0" fontId="5" fillId="0" borderId="19" xfId="0" applyFont="1" applyBorder="1" applyAlignment="1">
      <alignment vertical="center"/>
    </xf>
    <xf numFmtId="0" fontId="0" fillId="10" borderId="14" xfId="0" applyFill="1" applyBorder="1"/>
    <xf numFmtId="10" fontId="4" fillId="10" borderId="54" xfId="0" applyNumberFormat="1" applyFont="1" applyFill="1" applyBorder="1"/>
    <xf numFmtId="10" fontId="4" fillId="10" borderId="22" xfId="2" applyNumberFormat="1" applyFont="1" applyFill="1" applyBorder="1"/>
    <xf numFmtId="44" fontId="0" fillId="11" borderId="1" xfId="1" applyFont="1" applyFill="1" applyBorder="1"/>
    <xf numFmtId="44" fontId="0" fillId="11" borderId="1" xfId="0" applyNumberFormat="1" applyFill="1" applyBorder="1"/>
    <xf numFmtId="44" fontId="0" fillId="11" borderId="25" xfId="0" applyNumberFormat="1" applyFill="1" applyBorder="1"/>
    <xf numFmtId="10" fontId="0" fillId="11" borderId="51" xfId="2" applyNumberFormat="1" applyFont="1" applyFill="1" applyBorder="1"/>
    <xf numFmtId="0" fontId="0" fillId="0" borderId="51" xfId="0" applyFill="1" applyBorder="1"/>
    <xf numFmtId="10" fontId="0" fillId="11" borderId="51" xfId="0" applyNumberFormat="1" applyFill="1" applyBorder="1"/>
    <xf numFmtId="10" fontId="4" fillId="6" borderId="36" xfId="2" applyNumberFormat="1" applyFont="1" applyFill="1" applyBorder="1"/>
    <xf numFmtId="10" fontId="4" fillId="6" borderId="59" xfId="0" applyNumberFormat="1" applyFont="1" applyFill="1" applyBorder="1"/>
    <xf numFmtId="0" fontId="10" fillId="0" borderId="0" xfId="0" applyFont="1"/>
    <xf numFmtId="0" fontId="2" fillId="0" borderId="63" xfId="0" applyFont="1" applyBorder="1" applyAlignment="1">
      <alignment horizontal="center"/>
    </xf>
    <xf numFmtId="0" fontId="2" fillId="0" borderId="33" xfId="0" applyFont="1" applyFill="1" applyBorder="1" applyAlignment="1">
      <alignment horizontal="center"/>
    </xf>
    <xf numFmtId="0" fontId="0" fillId="5" borderId="59" xfId="0" applyFill="1" applyBorder="1"/>
    <xf numFmtId="0" fontId="0" fillId="0" borderId="43" xfId="0" applyBorder="1"/>
    <xf numFmtId="0" fontId="0" fillId="0" borderId="44" xfId="0" applyBorder="1"/>
    <xf numFmtId="0" fontId="12" fillId="15" borderId="69" xfId="0" applyFont="1" applyFill="1" applyBorder="1"/>
    <xf numFmtId="165" fontId="0" fillId="0" borderId="51" xfId="1" applyNumberFormat="1" applyFont="1" applyBorder="1"/>
    <xf numFmtId="165" fontId="0" fillId="0" borderId="52" xfId="1" applyNumberFormat="1" applyFont="1" applyBorder="1"/>
    <xf numFmtId="165" fontId="6" fillId="3" borderId="58" xfId="1" applyNumberFormat="1" applyFont="1" applyFill="1" applyBorder="1" applyAlignment="1">
      <alignment vertical="center"/>
    </xf>
    <xf numFmtId="165" fontId="6" fillId="3" borderId="17" xfId="1" applyNumberFormat="1" applyFont="1" applyFill="1" applyBorder="1"/>
    <xf numFmtId="165" fontId="6" fillId="3" borderId="51" xfId="1" applyNumberFormat="1" applyFont="1" applyFill="1" applyBorder="1"/>
    <xf numFmtId="165" fontId="0" fillId="0" borderId="53" xfId="1" applyNumberFormat="1" applyFont="1" applyBorder="1"/>
    <xf numFmtId="165" fontId="0" fillId="0" borderId="17" xfId="1" applyNumberFormat="1" applyFont="1" applyBorder="1"/>
    <xf numFmtId="165" fontId="0" fillId="0" borderId="18" xfId="1" applyNumberFormat="1" applyFont="1" applyBorder="1"/>
    <xf numFmtId="165" fontId="0" fillId="0" borderId="58" xfId="1" applyNumberFormat="1" applyFont="1" applyBorder="1"/>
    <xf numFmtId="165" fontId="0" fillId="10" borderId="51" xfId="1" applyNumberFormat="1" applyFont="1" applyFill="1" applyBorder="1"/>
    <xf numFmtId="165" fontId="2" fillId="3" borderId="55" xfId="1" applyNumberFormat="1" applyFont="1" applyFill="1" applyBorder="1" applyAlignment="1">
      <alignment horizontal="center"/>
    </xf>
    <xf numFmtId="165" fontId="0" fillId="10" borderId="52" xfId="1" applyNumberFormat="1" applyFont="1" applyFill="1" applyBorder="1"/>
    <xf numFmtId="165" fontId="2" fillId="8" borderId="48" xfId="0" applyNumberFormat="1" applyFont="1" applyFill="1" applyBorder="1" applyAlignment="1">
      <alignment horizontal="center"/>
    </xf>
    <xf numFmtId="165" fontId="0" fillId="0" borderId="17" xfId="1" applyNumberFormat="1" applyFont="1" applyFill="1" applyBorder="1"/>
    <xf numFmtId="165" fontId="0" fillId="10" borderId="17" xfId="1" applyNumberFormat="1" applyFont="1" applyFill="1" applyBorder="1"/>
    <xf numFmtId="165" fontId="0" fillId="0" borderId="51" xfId="1" applyNumberFormat="1" applyFont="1" applyFill="1" applyBorder="1"/>
    <xf numFmtId="165" fontId="0" fillId="0" borderId="52" xfId="1" applyNumberFormat="1" applyFont="1" applyFill="1" applyBorder="1"/>
    <xf numFmtId="165" fontId="0" fillId="0" borderId="0" xfId="0" applyNumberFormat="1" applyBorder="1"/>
    <xf numFmtId="165" fontId="2" fillId="8" borderId="16" xfId="0" applyNumberFormat="1" applyFont="1" applyFill="1" applyBorder="1" applyAlignment="1">
      <alignment horizontal="center"/>
    </xf>
    <xf numFmtId="165" fontId="0" fillId="0" borderId="12" xfId="1" applyNumberFormat="1" applyFont="1" applyFill="1" applyBorder="1"/>
    <xf numFmtId="165" fontId="0" fillId="11" borderId="53" xfId="1" applyNumberFormat="1" applyFont="1" applyFill="1" applyBorder="1"/>
    <xf numFmtId="165" fontId="0" fillId="10" borderId="53" xfId="0" applyNumberFormat="1" applyFill="1" applyBorder="1"/>
    <xf numFmtId="165" fontId="1" fillId="0" borderId="51" xfId="1" applyNumberFormat="1" applyFont="1" applyBorder="1" applyAlignment="1">
      <alignment vertical="center"/>
    </xf>
    <xf numFmtId="165" fontId="1" fillId="0" borderId="51" xfId="1" applyNumberFormat="1" applyFont="1" applyBorder="1"/>
    <xf numFmtId="165" fontId="0" fillId="3" borderId="51" xfId="1" applyNumberFormat="1" applyFont="1" applyFill="1" applyBorder="1"/>
    <xf numFmtId="165" fontId="2" fillId="7" borderId="16" xfId="0" applyNumberFormat="1" applyFont="1" applyFill="1" applyBorder="1" applyAlignment="1">
      <alignment horizontal="center"/>
    </xf>
    <xf numFmtId="165" fontId="2" fillId="7" borderId="48" xfId="0" applyNumberFormat="1" applyFont="1" applyFill="1" applyBorder="1" applyAlignment="1">
      <alignment horizontal="center"/>
    </xf>
    <xf numFmtId="165" fontId="2" fillId="10" borderId="16" xfId="0" applyNumberFormat="1" applyFont="1" applyFill="1" applyBorder="1" applyAlignment="1">
      <alignment horizontal="center"/>
    </xf>
    <xf numFmtId="165" fontId="0" fillId="10" borderId="53" xfId="1" applyNumberFormat="1" applyFont="1" applyFill="1" applyBorder="1"/>
    <xf numFmtId="165" fontId="2" fillId="7" borderId="37" xfId="0" applyNumberFormat="1" applyFont="1" applyFill="1" applyBorder="1" applyAlignment="1">
      <alignment horizontal="center"/>
    </xf>
    <xf numFmtId="165" fontId="0" fillId="10" borderId="16" xfId="0" applyNumberFormat="1" applyFont="1" applyFill="1" applyBorder="1" applyAlignment="1">
      <alignment horizontal="center"/>
    </xf>
    <xf numFmtId="165" fontId="2" fillId="10" borderId="53" xfId="0" applyNumberFormat="1" applyFont="1" applyFill="1" applyBorder="1" applyAlignment="1">
      <alignment horizontal="center"/>
    </xf>
    <xf numFmtId="165" fontId="0" fillId="0" borderId="6" xfId="1" applyNumberFormat="1" applyFont="1" applyFill="1" applyBorder="1"/>
    <xf numFmtId="165" fontId="0" fillId="11" borderId="51" xfId="1" applyNumberFormat="1" applyFont="1" applyFill="1" applyBorder="1"/>
    <xf numFmtId="165" fontId="0" fillId="0" borderId="25" xfId="0" applyNumberFormat="1" applyBorder="1"/>
    <xf numFmtId="165" fontId="6" fillId="3" borderId="58" xfId="0" applyNumberFormat="1" applyFont="1" applyFill="1" applyBorder="1"/>
    <xf numFmtId="165" fontId="0" fillId="0" borderId="53" xfId="0" applyNumberFormat="1" applyBorder="1"/>
    <xf numFmtId="165" fontId="0" fillId="0" borderId="12" xfId="0" applyNumberFormat="1" applyBorder="1"/>
    <xf numFmtId="165" fontId="0" fillId="10" borderId="16" xfId="0" applyNumberFormat="1" applyFill="1" applyBorder="1"/>
    <xf numFmtId="165" fontId="0" fillId="10" borderId="51" xfId="0" applyNumberFormat="1" applyFill="1" applyBorder="1"/>
    <xf numFmtId="165" fontId="0" fillId="10" borderId="52" xfId="0" applyNumberFormat="1" applyFill="1" applyBorder="1"/>
    <xf numFmtId="165" fontId="0" fillId="0" borderId="18" xfId="0" applyNumberFormat="1" applyBorder="1"/>
    <xf numFmtId="165" fontId="0" fillId="0" borderId="19" xfId="0" applyNumberFormat="1" applyBorder="1"/>
    <xf numFmtId="165" fontId="0" fillId="0" borderId="17" xfId="0" applyNumberFormat="1" applyBorder="1"/>
    <xf numFmtId="165" fontId="0" fillId="0" borderId="51" xfId="0" applyNumberFormat="1" applyBorder="1"/>
    <xf numFmtId="165" fontId="0" fillId="0" borderId="52" xfId="0" applyNumberFormat="1" applyBorder="1"/>
    <xf numFmtId="165" fontId="0" fillId="0" borderId="16" xfId="0" applyNumberFormat="1" applyBorder="1"/>
    <xf numFmtId="165" fontId="2" fillId="8" borderId="40" xfId="0" applyNumberFormat="1" applyFont="1" applyFill="1" applyBorder="1" applyAlignment="1">
      <alignment horizontal="center"/>
    </xf>
    <xf numFmtId="165" fontId="2" fillId="10" borderId="4" xfId="0" applyNumberFormat="1" applyFont="1" applyFill="1" applyBorder="1" applyAlignment="1">
      <alignment horizontal="center"/>
    </xf>
    <xf numFmtId="165" fontId="2" fillId="8" borderId="34" xfId="0" applyNumberFormat="1" applyFont="1" applyFill="1" applyBorder="1" applyAlignment="1">
      <alignment horizontal="center"/>
    </xf>
    <xf numFmtId="165" fontId="2" fillId="10" borderId="65" xfId="0" applyNumberFormat="1" applyFont="1" applyFill="1" applyBorder="1" applyAlignment="1">
      <alignment horizontal="center"/>
    </xf>
    <xf numFmtId="165" fontId="0" fillId="0" borderId="61" xfId="0" applyNumberFormat="1" applyBorder="1"/>
    <xf numFmtId="165" fontId="0" fillId="0" borderId="58" xfId="0" applyNumberFormat="1" applyBorder="1"/>
    <xf numFmtId="0" fontId="0" fillId="15" borderId="73" xfId="0" applyFont="1" applyFill="1" applyBorder="1"/>
    <xf numFmtId="0" fontId="0" fillId="15" borderId="74" xfId="0" applyFont="1" applyFill="1" applyBorder="1"/>
    <xf numFmtId="165" fontId="0" fillId="15" borderId="74" xfId="0" applyNumberFormat="1" applyFont="1" applyFill="1" applyBorder="1"/>
    <xf numFmtId="0" fontId="2" fillId="8" borderId="31" xfId="0" applyFont="1" applyFill="1" applyBorder="1" applyAlignment="1">
      <alignment horizontal="center"/>
    </xf>
    <xf numFmtId="165" fontId="0" fillId="16" borderId="69" xfId="0" applyNumberFormat="1" applyFill="1" applyBorder="1"/>
    <xf numFmtId="165" fontId="2" fillId="7" borderId="17" xfId="0" applyNumberFormat="1" applyFont="1" applyFill="1" applyBorder="1" applyAlignment="1">
      <alignment horizontal="center"/>
    </xf>
    <xf numFmtId="0" fontId="2" fillId="0" borderId="0" xfId="0" applyFont="1" applyFill="1" applyBorder="1" applyAlignment="1">
      <alignment horizontal="center" vertical="center"/>
    </xf>
    <xf numFmtId="166" fontId="0" fillId="0" borderId="0" xfId="3" applyNumberFormat="1" applyFont="1" applyFill="1" applyBorder="1"/>
    <xf numFmtId="0" fontId="0" fillId="17" borderId="0" xfId="0" applyFill="1"/>
    <xf numFmtId="0" fontId="2" fillId="0" borderId="0" xfId="0" applyFont="1" applyFill="1" applyBorder="1" applyAlignment="1">
      <alignment horizontal="center"/>
    </xf>
    <xf numFmtId="165" fontId="0" fillId="0" borderId="0" xfId="0" applyNumberFormat="1" applyFill="1" applyBorder="1"/>
    <xf numFmtId="165" fontId="2" fillId="0" borderId="0" xfId="0" applyNumberFormat="1" applyFont="1" applyFill="1" applyBorder="1" applyAlignment="1">
      <alignment horizontal="center"/>
    </xf>
    <xf numFmtId="10" fontId="4" fillId="0" borderId="0" xfId="0" applyNumberFormat="1" applyFont="1" applyFill="1" applyBorder="1"/>
    <xf numFmtId="10" fontId="4" fillId="0" borderId="0" xfId="2" applyNumberFormat="1" applyFont="1" applyFill="1" applyBorder="1"/>
    <xf numFmtId="0" fontId="5" fillId="0" borderId="0" xfId="0" applyFont="1" applyFill="1" applyBorder="1" applyAlignment="1">
      <alignment vertical="center"/>
    </xf>
    <xf numFmtId="0" fontId="0" fillId="0" borderId="0" xfId="0" applyFill="1" applyBorder="1" applyAlignment="1">
      <alignment horizontal="center"/>
    </xf>
    <xf numFmtId="165" fontId="0" fillId="17" borderId="0" xfId="1" applyNumberFormat="1" applyFont="1" applyFill="1" applyBorder="1"/>
    <xf numFmtId="44" fontId="0" fillId="3" borderId="9" xfId="0" applyNumberFormat="1" applyFill="1" applyBorder="1"/>
    <xf numFmtId="0" fontId="4" fillId="0" borderId="0" xfId="0" applyFont="1" applyFill="1" applyBorder="1"/>
    <xf numFmtId="0" fontId="0" fillId="0" borderId="56" xfId="0" applyBorder="1"/>
    <xf numFmtId="0" fontId="0" fillId="0" borderId="57" xfId="0" applyBorder="1"/>
    <xf numFmtId="10" fontId="4" fillId="10" borderId="53" xfId="0" applyNumberFormat="1" applyFont="1" applyFill="1" applyBorder="1"/>
    <xf numFmtId="10" fontId="4" fillId="10" borderId="10" xfId="2" applyNumberFormat="1" applyFont="1" applyFill="1" applyBorder="1"/>
    <xf numFmtId="44" fontId="0" fillId="0" borderId="1" xfId="1" applyFont="1" applyBorder="1"/>
    <xf numFmtId="44" fontId="0" fillId="0" borderId="3" xfId="1" applyFont="1" applyBorder="1"/>
    <xf numFmtId="44" fontId="0" fillId="0" borderId="14" xfId="1" applyFont="1" applyBorder="1"/>
    <xf numFmtId="44" fontId="0" fillId="0" borderId="77" xfId="1" applyFont="1" applyBorder="1"/>
    <xf numFmtId="44" fontId="0" fillId="0" borderId="45" xfId="1" applyFont="1" applyBorder="1"/>
    <xf numFmtId="44" fontId="0" fillId="0" borderId="33" xfId="1" applyFont="1" applyBorder="1"/>
    <xf numFmtId="0" fontId="4" fillId="10" borderId="40" xfId="0" applyFont="1" applyFill="1" applyBorder="1" applyAlignment="1">
      <alignment horizontal="center"/>
    </xf>
    <xf numFmtId="0" fontId="4" fillId="10" borderId="35" xfId="0" applyFont="1" applyFill="1" applyBorder="1" applyAlignment="1">
      <alignment horizontal="center"/>
    </xf>
    <xf numFmtId="0" fontId="4" fillId="10" borderId="36" xfId="0" applyFont="1" applyFill="1" applyBorder="1" applyAlignment="1">
      <alignment horizontal="center"/>
    </xf>
    <xf numFmtId="0" fontId="4" fillId="10" borderId="51" xfId="0" applyFont="1" applyFill="1" applyBorder="1"/>
    <xf numFmtId="0" fontId="4" fillId="10" borderId="52" xfId="0" applyFont="1" applyFill="1" applyBorder="1"/>
    <xf numFmtId="44" fontId="0" fillId="0" borderId="50" xfId="1" applyFont="1" applyBorder="1"/>
    <xf numFmtId="0" fontId="4" fillId="10" borderId="58" xfId="0" applyFont="1" applyFill="1" applyBorder="1"/>
    <xf numFmtId="0" fontId="4" fillId="10" borderId="48" xfId="0" applyFont="1" applyFill="1" applyBorder="1"/>
    <xf numFmtId="44" fontId="2" fillId="0" borderId="35" xfId="1" applyFont="1" applyBorder="1"/>
    <xf numFmtId="44" fontId="2" fillId="0" borderId="36" xfId="1" applyFont="1" applyBorder="1"/>
    <xf numFmtId="0" fontId="2" fillId="0" borderId="48" xfId="0" applyFont="1" applyBorder="1"/>
    <xf numFmtId="0" fontId="2" fillId="0" borderId="0" xfId="0" applyFont="1" applyBorder="1"/>
    <xf numFmtId="44" fontId="0" fillId="0" borderId="0" xfId="1" applyFont="1" applyBorder="1"/>
    <xf numFmtId="44" fontId="2" fillId="0" borderId="0" xfId="1" applyFont="1" applyBorder="1"/>
    <xf numFmtId="0" fontId="4" fillId="0" borderId="0" xfId="0" applyFont="1" applyFill="1" applyBorder="1" applyAlignment="1">
      <alignment horizontal="center"/>
    </xf>
    <xf numFmtId="44" fontId="1" fillId="10" borderId="1" xfId="1" applyFont="1" applyFill="1" applyBorder="1" applyAlignment="1">
      <alignment horizontal="center"/>
    </xf>
    <xf numFmtId="0" fontId="0" fillId="0" borderId="0" xfId="0" applyFont="1" applyFill="1" applyBorder="1"/>
    <xf numFmtId="165" fontId="0" fillId="0" borderId="0" xfId="0" applyNumberFormat="1" applyFont="1" applyFill="1" applyBorder="1"/>
    <xf numFmtId="165" fontId="0" fillId="16" borderId="72" xfId="0" applyNumberFormat="1" applyFill="1" applyBorder="1"/>
    <xf numFmtId="0" fontId="2" fillId="2" borderId="22" xfId="0" applyFont="1" applyFill="1" applyBorder="1" applyAlignment="1">
      <alignment horizontal="center"/>
    </xf>
    <xf numFmtId="165" fontId="1" fillId="0" borderId="52" xfId="1" applyNumberFormat="1" applyFont="1" applyBorder="1"/>
    <xf numFmtId="0" fontId="4" fillId="10" borderId="39" xfId="0" applyFont="1" applyFill="1" applyBorder="1" applyAlignment="1">
      <alignment horizontal="center"/>
    </xf>
    <xf numFmtId="165" fontId="1" fillId="3" borderId="58" xfId="1" applyNumberFormat="1" applyFont="1" applyFill="1" applyBorder="1" applyAlignment="1">
      <alignment horizontal="center"/>
    </xf>
    <xf numFmtId="0" fontId="2" fillId="3" borderId="1" xfId="0" applyFont="1" applyFill="1" applyBorder="1" applyAlignment="1">
      <alignment horizontal="center"/>
    </xf>
    <xf numFmtId="0" fontId="2" fillId="3" borderId="14" xfId="0" applyFont="1" applyFill="1" applyBorder="1" applyAlignment="1">
      <alignment horizontal="center"/>
    </xf>
    <xf numFmtId="0" fontId="0" fillId="0" borderId="58" xfId="0" applyBorder="1"/>
    <xf numFmtId="165" fontId="1" fillId="3" borderId="42" xfId="1" applyNumberFormat="1" applyFont="1" applyFill="1" applyBorder="1" applyAlignment="1">
      <alignment horizontal="center"/>
    </xf>
    <xf numFmtId="44" fontId="0" fillId="4" borderId="0" xfId="1" applyFont="1" applyFill="1" applyBorder="1"/>
    <xf numFmtId="44" fontId="0" fillId="4" borderId="0" xfId="0" applyNumberFormat="1" applyFill="1" applyBorder="1"/>
    <xf numFmtId="44" fontId="0" fillId="3" borderId="0" xfId="0" applyNumberFormat="1" applyFill="1" applyBorder="1"/>
    <xf numFmtId="10" fontId="4" fillId="0" borderId="10" xfId="2" applyNumberFormat="1" applyFont="1" applyFill="1" applyBorder="1"/>
    <xf numFmtId="9" fontId="4" fillId="0" borderId="0" xfId="2" applyFont="1" applyFill="1" applyBorder="1"/>
    <xf numFmtId="10" fontId="4" fillId="6" borderId="54" xfId="2" applyNumberFormat="1" applyFont="1" applyFill="1" applyBorder="1"/>
    <xf numFmtId="0" fontId="2" fillId="0" borderId="4" xfId="0" applyFont="1" applyBorder="1" applyAlignment="1">
      <alignment horizontal="center"/>
    </xf>
    <xf numFmtId="44" fontId="0" fillId="3" borderId="33" xfId="0" applyNumberFormat="1" applyFill="1" applyBorder="1"/>
    <xf numFmtId="0" fontId="2" fillId="0" borderId="45" xfId="0" applyFont="1" applyBorder="1" applyAlignment="1">
      <alignment horizontal="center"/>
    </xf>
    <xf numFmtId="0" fontId="0" fillId="17" borderId="0" xfId="0" applyFill="1" applyAlignment="1">
      <alignment horizontal="center"/>
    </xf>
    <xf numFmtId="44" fontId="0" fillId="0" borderId="33" xfId="0" applyNumberFormat="1" applyFill="1" applyBorder="1"/>
    <xf numFmtId="165" fontId="0" fillId="0" borderId="53" xfId="0" applyNumberFormat="1" applyFill="1" applyBorder="1"/>
    <xf numFmtId="165" fontId="0" fillId="16" borderId="70" xfId="0" applyNumberFormat="1" applyFill="1" applyBorder="1"/>
    <xf numFmtId="0" fontId="0" fillId="16" borderId="71" xfId="0" applyFill="1" applyBorder="1"/>
    <xf numFmtId="0" fontId="2" fillId="16" borderId="40" xfId="0" applyFont="1" applyFill="1" applyBorder="1" applyAlignment="1">
      <alignment horizontal="center"/>
    </xf>
    <xf numFmtId="0" fontId="2" fillId="16" borderId="35" xfId="0" applyFont="1" applyFill="1" applyBorder="1" applyAlignment="1">
      <alignment horizontal="center"/>
    </xf>
    <xf numFmtId="0" fontId="2" fillId="16" borderId="36" xfId="0" applyFont="1" applyFill="1" applyBorder="1" applyAlignment="1">
      <alignment horizontal="center"/>
    </xf>
    <xf numFmtId="0" fontId="2" fillId="16" borderId="50" xfId="0" applyFont="1" applyFill="1" applyBorder="1" applyAlignment="1">
      <alignment horizontal="center"/>
    </xf>
    <xf numFmtId="0" fontId="2" fillId="16" borderId="47" xfId="0" applyFont="1" applyFill="1" applyBorder="1" applyAlignment="1">
      <alignment horizontal="center"/>
    </xf>
    <xf numFmtId="165" fontId="2" fillId="16" borderId="48" xfId="0" applyNumberFormat="1" applyFont="1" applyFill="1" applyBorder="1" applyAlignment="1">
      <alignment horizontal="center"/>
    </xf>
    <xf numFmtId="0" fontId="2" fillId="16" borderId="38" xfId="0" applyFont="1" applyFill="1" applyBorder="1" applyAlignment="1">
      <alignment horizontal="center"/>
    </xf>
    <xf numFmtId="165" fontId="2" fillId="16" borderId="40" xfId="0" applyNumberFormat="1" applyFont="1" applyFill="1" applyBorder="1" applyAlignment="1">
      <alignment horizontal="center"/>
    </xf>
    <xf numFmtId="44" fontId="0" fillId="16" borderId="1" xfId="0" applyNumberFormat="1" applyFill="1" applyBorder="1"/>
    <xf numFmtId="44" fontId="0" fillId="16" borderId="25" xfId="0" applyNumberFormat="1" applyFill="1" applyBorder="1"/>
    <xf numFmtId="165" fontId="0" fillId="16" borderId="58" xfId="1" applyNumberFormat="1" applyFont="1" applyFill="1" applyBorder="1"/>
    <xf numFmtId="165" fontId="0" fillId="16" borderId="51" xfId="1" applyNumberFormat="1" applyFont="1" applyFill="1" applyBorder="1"/>
    <xf numFmtId="165" fontId="0" fillId="16" borderId="51" xfId="0" applyNumberFormat="1" applyFill="1" applyBorder="1"/>
    <xf numFmtId="165" fontId="0" fillId="16" borderId="17" xfId="1" applyNumberFormat="1" applyFont="1" applyFill="1" applyBorder="1"/>
    <xf numFmtId="44" fontId="0" fillId="16" borderId="12" xfId="0" applyNumberFormat="1" applyFill="1" applyBorder="1"/>
    <xf numFmtId="44" fontId="0" fillId="16" borderId="26" xfId="0" applyNumberFormat="1" applyFill="1" applyBorder="1"/>
    <xf numFmtId="165" fontId="0" fillId="16" borderId="52" xfId="1" applyNumberFormat="1" applyFont="1" applyFill="1" applyBorder="1"/>
    <xf numFmtId="165" fontId="0" fillId="16" borderId="52" xfId="0" applyNumberFormat="1" applyFill="1" applyBorder="1"/>
    <xf numFmtId="0" fontId="2" fillId="16" borderId="48" xfId="0" applyFont="1" applyFill="1" applyBorder="1" applyAlignment="1">
      <alignment horizontal="center"/>
    </xf>
    <xf numFmtId="0" fontId="0" fillId="16" borderId="5" xfId="0" applyFill="1" applyBorder="1"/>
    <xf numFmtId="0" fontId="0" fillId="10" borderId="1" xfId="0" applyFill="1" applyBorder="1"/>
    <xf numFmtId="165" fontId="2" fillId="0" borderId="5" xfId="1" applyNumberFormat="1" applyFont="1" applyFill="1" applyBorder="1" applyAlignment="1">
      <alignment horizontal="center"/>
    </xf>
    <xf numFmtId="165" fontId="0" fillId="0" borderId="54" xfId="1" applyNumberFormat="1" applyFont="1" applyBorder="1"/>
    <xf numFmtId="165" fontId="0" fillId="11" borderId="54" xfId="1" applyNumberFormat="1" applyFont="1" applyFill="1" applyBorder="1"/>
    <xf numFmtId="10" fontId="4" fillId="6" borderId="58" xfId="0" applyNumberFormat="1" applyFont="1" applyFill="1" applyBorder="1"/>
    <xf numFmtId="10" fontId="4" fillId="6" borderId="17" xfId="2" applyNumberFormat="1" applyFont="1" applyFill="1" applyBorder="1"/>
    <xf numFmtId="0" fontId="2" fillId="3" borderId="49" xfId="0" applyFont="1" applyFill="1" applyBorder="1" applyAlignment="1">
      <alignment horizontal="center"/>
    </xf>
    <xf numFmtId="0" fontId="2" fillId="3" borderId="6" xfId="0" applyFont="1" applyFill="1" applyBorder="1" applyAlignment="1">
      <alignment horizontal="center"/>
    </xf>
    <xf numFmtId="0" fontId="2" fillId="3" borderId="27" xfId="0" applyFont="1" applyFill="1" applyBorder="1" applyAlignment="1">
      <alignment horizontal="center"/>
    </xf>
    <xf numFmtId="165" fontId="0" fillId="0" borderId="42" xfId="1" applyNumberFormat="1" applyFont="1" applyBorder="1"/>
    <xf numFmtId="165" fontId="0" fillId="0" borderId="43" xfId="1" applyNumberFormat="1" applyFont="1" applyBorder="1"/>
    <xf numFmtId="0" fontId="0" fillId="16" borderId="80" xfId="0" applyFill="1" applyBorder="1"/>
    <xf numFmtId="0" fontId="0" fillId="16" borderId="82" xfId="0" applyFill="1" applyBorder="1"/>
    <xf numFmtId="0" fontId="0" fillId="16" borderId="58" xfId="0" applyFill="1" applyBorder="1"/>
    <xf numFmtId="0" fontId="0" fillId="16" borderId="51" xfId="0" applyFill="1" applyBorder="1"/>
    <xf numFmtId="0" fontId="0" fillId="16" borderId="52" xfId="0" applyFill="1" applyBorder="1"/>
    <xf numFmtId="0" fontId="2" fillId="0" borderId="1" xfId="0" applyFont="1" applyFill="1" applyBorder="1" applyAlignment="1">
      <alignment horizontal="center"/>
    </xf>
    <xf numFmtId="0" fontId="2" fillId="0" borderId="67" xfId="0" applyFont="1" applyBorder="1" applyAlignment="1">
      <alignment horizontal="center"/>
    </xf>
    <xf numFmtId="0" fontId="0" fillId="0" borderId="0" xfId="0" applyBorder="1" applyAlignment="1">
      <alignment horizontal="center"/>
    </xf>
    <xf numFmtId="9" fontId="0" fillId="0" borderId="0" xfId="2" applyFont="1" applyBorder="1"/>
    <xf numFmtId="165" fontId="0" fillId="0" borderId="56" xfId="0" applyNumberFormat="1" applyBorder="1"/>
    <xf numFmtId="44" fontId="0" fillId="0" borderId="25" xfId="1" applyFont="1" applyBorder="1"/>
    <xf numFmtId="44" fontId="2" fillId="0" borderId="68" xfId="1" applyFont="1" applyBorder="1"/>
    <xf numFmtId="44" fontId="0" fillId="0" borderId="3" xfId="1" applyFont="1" applyFill="1" applyBorder="1"/>
    <xf numFmtId="44" fontId="2" fillId="0" borderId="48" xfId="1" applyFont="1" applyBorder="1"/>
    <xf numFmtId="165" fontId="2" fillId="8" borderId="23" xfId="0" applyNumberFormat="1" applyFont="1" applyFill="1" applyBorder="1" applyAlignment="1">
      <alignment horizontal="center"/>
    </xf>
    <xf numFmtId="10" fontId="4" fillId="6" borderId="28" xfId="0" applyNumberFormat="1" applyFont="1" applyFill="1" applyBorder="1"/>
    <xf numFmtId="44" fontId="2" fillId="0" borderId="79" xfId="1" applyFont="1" applyBorder="1"/>
    <xf numFmtId="44" fontId="0" fillId="0" borderId="49" xfId="1" applyFont="1" applyFill="1" applyBorder="1"/>
    <xf numFmtId="44" fontId="0" fillId="0" borderId="14" xfId="1" applyFont="1" applyFill="1" applyBorder="1"/>
    <xf numFmtId="44" fontId="0" fillId="0" borderId="15" xfId="1" applyFont="1" applyFill="1" applyBorder="1"/>
    <xf numFmtId="44" fontId="0" fillId="0" borderId="6" xfId="1" applyFont="1" applyBorder="1"/>
    <xf numFmtId="44" fontId="0" fillId="0" borderId="12" xfId="1" applyFont="1" applyBorder="1"/>
    <xf numFmtId="0" fontId="4" fillId="10" borderId="0" xfId="0" applyFont="1" applyFill="1" applyBorder="1" applyAlignment="1">
      <alignment horizontal="center"/>
    </xf>
    <xf numFmtId="0" fontId="4" fillId="10" borderId="0" xfId="0" applyFont="1" applyFill="1"/>
    <xf numFmtId="0" fontId="4" fillId="10" borderId="0" xfId="0" applyFont="1" applyFill="1" applyAlignment="1">
      <alignment horizontal="center"/>
    </xf>
    <xf numFmtId="165" fontId="2" fillId="8" borderId="29" xfId="0" applyNumberFormat="1" applyFont="1" applyFill="1" applyBorder="1" applyAlignment="1">
      <alignment horizontal="center"/>
    </xf>
    <xf numFmtId="165" fontId="0" fillId="10" borderId="52" xfId="0" applyNumberFormat="1" applyFont="1" applyFill="1" applyBorder="1"/>
    <xf numFmtId="10" fontId="1" fillId="16" borderId="43" xfId="2" applyNumberFormat="1" applyFont="1" applyFill="1" applyBorder="1"/>
    <xf numFmtId="10" fontId="1" fillId="16" borderId="44" xfId="2" applyNumberFormat="1" applyFont="1" applyFill="1" applyBorder="1"/>
    <xf numFmtId="0" fontId="1" fillId="16" borderId="0" xfId="0" applyFont="1" applyFill="1"/>
    <xf numFmtId="10" fontId="0" fillId="16" borderId="51" xfId="0" applyNumberFormat="1" applyFont="1" applyFill="1" applyBorder="1"/>
    <xf numFmtId="10" fontId="0" fillId="16" borderId="52" xfId="2" applyNumberFormat="1" applyFont="1" applyFill="1" applyBorder="1"/>
    <xf numFmtId="0" fontId="4" fillId="10" borderId="24" xfId="0" applyFont="1" applyFill="1" applyBorder="1" applyAlignment="1">
      <alignment horizontal="center"/>
    </xf>
    <xf numFmtId="165" fontId="0" fillId="17" borderId="0" xfId="1" applyNumberFormat="1" applyFont="1" applyFill="1" applyBorder="1" applyAlignment="1">
      <alignment horizontal="center"/>
    </xf>
    <xf numFmtId="43" fontId="0" fillId="0" borderId="20" xfId="3" applyFont="1" applyBorder="1" applyAlignment="1">
      <alignment horizontal="center"/>
    </xf>
    <xf numFmtId="167" fontId="0" fillId="0" borderId="13" xfId="3" applyNumberFormat="1" applyFont="1" applyBorder="1" applyAlignment="1">
      <alignment horizontal="center"/>
    </xf>
    <xf numFmtId="0" fontId="0" fillId="7" borderId="48" xfId="0" applyFill="1" applyBorder="1" applyAlignment="1">
      <alignment horizontal="center" wrapText="1"/>
    </xf>
    <xf numFmtId="0" fontId="2" fillId="3" borderId="25" xfId="0" applyFont="1" applyFill="1" applyBorder="1" applyAlignment="1">
      <alignment horizontal="center"/>
    </xf>
    <xf numFmtId="165" fontId="0" fillId="10" borderId="17" xfId="0" applyNumberFormat="1" applyFont="1" applyFill="1" applyBorder="1" applyAlignment="1">
      <alignment horizontal="center"/>
    </xf>
    <xf numFmtId="0" fontId="0" fillId="10" borderId="17" xfId="0" applyFont="1" applyFill="1" applyBorder="1" applyAlignment="1">
      <alignment horizontal="center"/>
    </xf>
    <xf numFmtId="10" fontId="4" fillId="6" borderId="67" xfId="0" applyNumberFormat="1" applyFont="1" applyFill="1" applyBorder="1"/>
    <xf numFmtId="10" fontId="4" fillId="6" borderId="55" xfId="0" applyNumberFormat="1" applyFont="1" applyFill="1" applyBorder="1"/>
    <xf numFmtId="10" fontId="4" fillId="6" borderId="56" xfId="0" applyNumberFormat="1" applyFont="1" applyFill="1" applyBorder="1"/>
    <xf numFmtId="44" fontId="9" fillId="10" borderId="21" xfId="1" applyFont="1" applyFill="1" applyBorder="1" applyAlignment="1">
      <alignment horizontal="center"/>
    </xf>
    <xf numFmtId="44" fontId="9" fillId="10" borderId="7" xfId="1" applyFont="1" applyFill="1" applyBorder="1" applyAlignment="1">
      <alignment horizontal="center"/>
    </xf>
    <xf numFmtId="0" fontId="9" fillId="10" borderId="1" xfId="0" applyFont="1" applyFill="1" applyBorder="1"/>
    <xf numFmtId="0" fontId="15" fillId="10" borderId="70" xfId="0" applyFont="1" applyFill="1" applyBorder="1"/>
    <xf numFmtId="9" fontId="0" fillId="0" borderId="0" xfId="2" applyFont="1"/>
    <xf numFmtId="0" fontId="2" fillId="0" borderId="8" xfId="0" applyFont="1" applyBorder="1" applyAlignment="1">
      <alignment horizontal="center" vertical="center"/>
    </xf>
    <xf numFmtId="44" fontId="0" fillId="2" borderId="33" xfId="1" applyFont="1" applyFill="1" applyBorder="1"/>
    <xf numFmtId="0" fontId="2" fillId="16" borderId="80" xfId="0" applyFont="1" applyFill="1" applyBorder="1" applyAlignment="1">
      <alignment horizontal="center"/>
    </xf>
    <xf numFmtId="0" fontId="0" fillId="16" borderId="80" xfId="0" applyFill="1" applyBorder="1" applyAlignment="1">
      <alignment horizontal="center"/>
    </xf>
    <xf numFmtId="0" fontId="15" fillId="10" borderId="80" xfId="0" applyFont="1" applyFill="1" applyBorder="1"/>
    <xf numFmtId="0" fontId="0" fillId="16" borderId="17" xfId="0" applyFill="1" applyBorder="1"/>
    <xf numFmtId="0" fontId="2" fillId="0" borderId="23" xfId="0" applyFont="1" applyFill="1" applyBorder="1" applyAlignment="1">
      <alignment horizontal="center"/>
    </xf>
    <xf numFmtId="44" fontId="0" fillId="0" borderId="33" xfId="0" applyNumberFormat="1" applyFont="1" applyFill="1" applyBorder="1"/>
    <xf numFmtId="0" fontId="2" fillId="0" borderId="64" xfId="0" applyFont="1" applyBorder="1" applyAlignment="1">
      <alignment horizontal="center" vertical="center"/>
    </xf>
    <xf numFmtId="44" fontId="0" fillId="0" borderId="1" xfId="0" applyNumberFormat="1" applyFont="1" applyFill="1" applyBorder="1"/>
    <xf numFmtId="0" fontId="2" fillId="4" borderId="29" xfId="0" applyFont="1" applyFill="1" applyBorder="1" applyAlignment="1">
      <alignment horizontal="center"/>
    </xf>
    <xf numFmtId="0" fontId="2" fillId="0" borderId="64" xfId="0" applyFont="1" applyBorder="1" applyAlignment="1">
      <alignment horizontal="center"/>
    </xf>
    <xf numFmtId="165" fontId="0" fillId="16" borderId="64" xfId="0" applyNumberFormat="1" applyFill="1" applyBorder="1"/>
    <xf numFmtId="165" fontId="0" fillId="16" borderId="66" xfId="0" applyNumberFormat="1" applyFill="1" applyBorder="1"/>
    <xf numFmtId="10" fontId="0" fillId="16" borderId="58" xfId="0" applyNumberFormat="1" applyFont="1" applyFill="1" applyBorder="1"/>
    <xf numFmtId="165" fontId="0" fillId="16" borderId="8" xfId="0" applyNumberFormat="1" applyFill="1" applyBorder="1"/>
    <xf numFmtId="10" fontId="1" fillId="16" borderId="42" xfId="2" applyNumberFormat="1" applyFont="1" applyFill="1" applyBorder="1"/>
    <xf numFmtId="9" fontId="0" fillId="0" borderId="0" xfId="2" applyFont="1" applyFill="1" applyBorder="1"/>
    <xf numFmtId="0" fontId="4" fillId="10" borderId="0" xfId="0" applyFont="1" applyFill="1" applyBorder="1"/>
    <xf numFmtId="0" fontId="2" fillId="18" borderId="48" xfId="0" applyFont="1" applyFill="1" applyBorder="1"/>
    <xf numFmtId="0" fontId="0" fillId="0" borderId="0" xfId="0" applyAlignment="1"/>
    <xf numFmtId="0" fontId="4" fillId="10" borderId="31" xfId="0" applyFont="1" applyFill="1" applyBorder="1" applyAlignment="1">
      <alignment horizontal="center"/>
    </xf>
    <xf numFmtId="44" fontId="0" fillId="0" borderId="27" xfId="1" applyFont="1" applyFill="1" applyBorder="1"/>
    <xf numFmtId="44" fontId="0" fillId="0" borderId="25" xfId="1" applyFont="1" applyFill="1" applyBorder="1"/>
    <xf numFmtId="44" fontId="0" fillId="0" borderId="26" xfId="1" applyFont="1" applyFill="1" applyBorder="1"/>
    <xf numFmtId="0" fontId="4" fillId="10" borderId="29" xfId="0" applyFont="1" applyFill="1" applyBorder="1" applyAlignment="1">
      <alignment horizontal="center"/>
    </xf>
    <xf numFmtId="0" fontId="4" fillId="10" borderId="23" xfId="0" applyFont="1" applyFill="1" applyBorder="1" applyAlignment="1">
      <alignment horizontal="center"/>
    </xf>
    <xf numFmtId="0" fontId="4" fillId="10" borderId="22" xfId="0" applyFont="1" applyFill="1" applyBorder="1" applyAlignment="1">
      <alignment horizontal="center"/>
    </xf>
    <xf numFmtId="44" fontId="0" fillId="0" borderId="90" xfId="1" applyFont="1" applyBorder="1"/>
    <xf numFmtId="44" fontId="0" fillId="0" borderId="21" xfId="1" applyFont="1" applyBorder="1"/>
    <xf numFmtId="44" fontId="0" fillId="0" borderId="27" xfId="1" applyFont="1" applyBorder="1"/>
    <xf numFmtId="44" fontId="0" fillId="0" borderId="6" xfId="1" applyFont="1" applyFill="1" applyBorder="1"/>
    <xf numFmtId="44" fontId="0" fillId="0" borderId="19" xfId="1" applyFont="1" applyBorder="1"/>
    <xf numFmtId="44" fontId="0" fillId="0" borderId="20" xfId="1" applyFont="1" applyBorder="1"/>
    <xf numFmtId="44" fontId="0" fillId="0" borderId="26" xfId="1" applyFont="1" applyBorder="1"/>
    <xf numFmtId="49" fontId="4" fillId="10" borderId="0" xfId="1" applyNumberFormat="1" applyFont="1" applyFill="1" applyBorder="1" applyAlignment="1">
      <alignment horizontal="center"/>
    </xf>
    <xf numFmtId="44" fontId="2" fillId="0" borderId="91" xfId="1" applyFont="1" applyBorder="1"/>
    <xf numFmtId="44" fontId="2" fillId="0" borderId="18" xfId="1" applyFont="1" applyBorder="1"/>
    <xf numFmtId="10" fontId="4" fillId="6" borderId="42" xfId="2" applyNumberFormat="1" applyFont="1" applyFill="1" applyBorder="1"/>
    <xf numFmtId="165" fontId="0" fillId="0" borderId="64" xfId="0" applyNumberFormat="1" applyFont="1" applyBorder="1"/>
    <xf numFmtId="0" fontId="2" fillId="3" borderId="33" xfId="0" applyFont="1" applyFill="1" applyBorder="1" applyAlignment="1">
      <alignment horizontal="center"/>
    </xf>
    <xf numFmtId="0" fontId="2" fillId="3" borderId="45" xfId="0" applyFont="1" applyFill="1" applyBorder="1" applyAlignment="1">
      <alignment horizontal="center"/>
    </xf>
    <xf numFmtId="0" fontId="2" fillId="3" borderId="39" xfId="0" applyFont="1" applyFill="1" applyBorder="1" applyAlignment="1">
      <alignment horizontal="center"/>
    </xf>
    <xf numFmtId="0" fontId="2" fillId="10" borderId="7" xfId="0" applyFont="1" applyFill="1" applyBorder="1" applyAlignment="1">
      <alignment horizontal="center"/>
    </xf>
    <xf numFmtId="165" fontId="0" fillId="0" borderId="58" xfId="0" applyNumberFormat="1" applyFont="1" applyFill="1" applyBorder="1" applyAlignment="1">
      <alignment horizontal="center"/>
    </xf>
    <xf numFmtId="0" fontId="2" fillId="0" borderId="39" xfId="0" applyFont="1" applyFill="1" applyBorder="1" applyAlignment="1">
      <alignment horizontal="center"/>
    </xf>
    <xf numFmtId="165" fontId="1" fillId="0" borderId="51" xfId="0" applyNumberFormat="1" applyFont="1" applyBorder="1"/>
    <xf numFmtId="0" fontId="0" fillId="3" borderId="31" xfId="0" applyFont="1" applyFill="1" applyBorder="1" applyAlignment="1">
      <alignment horizontal="center"/>
    </xf>
    <xf numFmtId="0" fontId="0" fillId="3" borderId="39" xfId="0" applyFont="1" applyFill="1" applyBorder="1" applyAlignment="1">
      <alignment horizontal="center"/>
    </xf>
    <xf numFmtId="165" fontId="0" fillId="0" borderId="17" xfId="0" applyNumberFormat="1" applyFont="1" applyFill="1" applyBorder="1" applyAlignment="1">
      <alignment horizontal="center"/>
    </xf>
    <xf numFmtId="0" fontId="2" fillId="10" borderId="53" xfId="0" applyFont="1" applyFill="1" applyBorder="1" applyAlignment="1">
      <alignment horizontal="center"/>
    </xf>
    <xf numFmtId="165" fontId="0" fillId="10" borderId="58" xfId="1" applyNumberFormat="1" applyFont="1" applyFill="1" applyBorder="1"/>
    <xf numFmtId="10" fontId="4" fillId="10" borderId="58" xfId="0" applyNumberFormat="1" applyFont="1" applyFill="1" applyBorder="1"/>
    <xf numFmtId="165" fontId="0" fillId="10" borderId="63" xfId="0" applyNumberFormat="1" applyFill="1" applyBorder="1"/>
    <xf numFmtId="10" fontId="1" fillId="10" borderId="42" xfId="2" applyNumberFormat="1" applyFont="1" applyFill="1" applyBorder="1"/>
    <xf numFmtId="165" fontId="2" fillId="10" borderId="17" xfId="0" applyNumberFormat="1" applyFont="1" applyFill="1" applyBorder="1" applyAlignment="1">
      <alignment horizontal="center"/>
    </xf>
    <xf numFmtId="0" fontId="2" fillId="10" borderId="0" xfId="0" applyFont="1" applyFill="1" applyBorder="1" applyAlignment="1">
      <alignment horizontal="center"/>
    </xf>
    <xf numFmtId="165" fontId="2" fillId="10" borderId="8" xfId="0" applyNumberFormat="1" applyFont="1" applyFill="1" applyBorder="1" applyAlignment="1">
      <alignment horizontal="center"/>
    </xf>
    <xf numFmtId="0" fontId="2" fillId="10" borderId="17" xfId="0" applyFont="1" applyFill="1" applyBorder="1" applyAlignment="1">
      <alignment horizontal="center"/>
    </xf>
    <xf numFmtId="44" fontId="0" fillId="10" borderId="48" xfId="0" applyNumberFormat="1" applyFill="1" applyBorder="1"/>
    <xf numFmtId="44" fontId="0" fillId="10" borderId="56" xfId="0" applyNumberFormat="1" applyFill="1" applyBorder="1"/>
    <xf numFmtId="10" fontId="0" fillId="10" borderId="56" xfId="0" applyNumberFormat="1" applyFill="1" applyBorder="1"/>
    <xf numFmtId="165" fontId="0" fillId="10" borderId="64" xfId="0" applyNumberFormat="1" applyFill="1" applyBorder="1"/>
    <xf numFmtId="10" fontId="1" fillId="10" borderId="43" xfId="2" applyNumberFormat="1" applyFont="1" applyFill="1" applyBorder="1"/>
    <xf numFmtId="3" fontId="0" fillId="10" borderId="51" xfId="0" applyNumberFormat="1" applyFill="1" applyBorder="1"/>
    <xf numFmtId="0" fontId="2" fillId="10" borderId="1" xfId="0" applyFont="1" applyFill="1" applyBorder="1" applyAlignment="1">
      <alignment horizontal="center"/>
    </xf>
    <xf numFmtId="165" fontId="2" fillId="10" borderId="1" xfId="0" applyNumberFormat="1" applyFont="1" applyFill="1" applyBorder="1" applyAlignment="1">
      <alignment horizontal="center"/>
    </xf>
    <xf numFmtId="10" fontId="0" fillId="10" borderId="58" xfId="0" applyNumberFormat="1" applyFill="1" applyBorder="1"/>
    <xf numFmtId="165" fontId="0" fillId="10" borderId="17" xfId="0" applyNumberFormat="1" applyFill="1" applyBorder="1"/>
    <xf numFmtId="44" fontId="0" fillId="10" borderId="58" xfId="1" applyFont="1" applyFill="1" applyBorder="1"/>
    <xf numFmtId="10" fontId="1" fillId="10" borderId="10" xfId="2" applyNumberFormat="1" applyFont="1" applyFill="1" applyBorder="1"/>
    <xf numFmtId="165" fontId="2" fillId="10" borderId="28" xfId="0" applyNumberFormat="1" applyFont="1" applyFill="1" applyBorder="1" applyAlignment="1">
      <alignment horizontal="center"/>
    </xf>
    <xf numFmtId="0" fontId="2" fillId="10" borderId="5" xfId="0" applyFont="1" applyFill="1" applyBorder="1" applyAlignment="1">
      <alignment horizontal="center"/>
    </xf>
    <xf numFmtId="165" fontId="2" fillId="10" borderId="5" xfId="0" applyNumberFormat="1" applyFont="1" applyFill="1" applyBorder="1" applyAlignment="1">
      <alignment horizontal="center"/>
    </xf>
    <xf numFmtId="165" fontId="2" fillId="10" borderId="0" xfId="0" applyNumberFormat="1" applyFont="1" applyFill="1" applyBorder="1" applyAlignment="1">
      <alignment horizontal="center"/>
    </xf>
    <xf numFmtId="0" fontId="2" fillId="0" borderId="83" xfId="0" applyFont="1" applyFill="1" applyBorder="1" applyAlignment="1">
      <alignment horizontal="center"/>
    </xf>
    <xf numFmtId="44" fontId="0" fillId="4" borderId="33" xfId="1" applyFont="1" applyFill="1" applyBorder="1"/>
    <xf numFmtId="10" fontId="4" fillId="6" borderId="1" xfId="0" applyNumberFormat="1" applyFont="1" applyFill="1" applyBorder="1"/>
    <xf numFmtId="10" fontId="4" fillId="6" borderId="6" xfId="0" applyNumberFormat="1" applyFont="1" applyFill="1" applyBorder="1"/>
    <xf numFmtId="165" fontId="0" fillId="0" borderId="6" xfId="0" applyNumberFormat="1" applyBorder="1"/>
    <xf numFmtId="165" fontId="0" fillId="0" borderId="19" xfId="1" applyNumberFormat="1" applyFont="1" applyFill="1" applyBorder="1"/>
    <xf numFmtId="10" fontId="4" fillId="6" borderId="12" xfId="0" applyNumberFormat="1" applyFont="1" applyFill="1" applyBorder="1"/>
    <xf numFmtId="0" fontId="0" fillId="12" borderId="8" xfId="0" applyFont="1" applyFill="1" applyBorder="1"/>
    <xf numFmtId="0" fontId="2" fillId="12" borderId="8" xfId="0" applyFont="1" applyFill="1" applyBorder="1" applyAlignment="1">
      <alignment horizontal="center"/>
    </xf>
    <xf numFmtId="165" fontId="0" fillId="0" borderId="61" xfId="0" applyNumberFormat="1" applyFont="1" applyFill="1" applyBorder="1" applyAlignment="1">
      <alignment horizontal="center"/>
    </xf>
    <xf numFmtId="165" fontId="0" fillId="0" borderId="61" xfId="1" applyNumberFormat="1" applyFont="1" applyFill="1" applyBorder="1" applyAlignment="1">
      <alignment horizontal="right"/>
    </xf>
    <xf numFmtId="165" fontId="0" fillId="0" borderId="75" xfId="0" applyNumberFormat="1" applyFont="1" applyFill="1" applyBorder="1" applyAlignment="1">
      <alignment horizontal="center"/>
    </xf>
    <xf numFmtId="165" fontId="0" fillId="0" borderId="84" xfId="0" applyNumberFormat="1" applyFont="1" applyFill="1" applyBorder="1" applyAlignment="1">
      <alignment horizontal="center"/>
    </xf>
    <xf numFmtId="165" fontId="0" fillId="0" borderId="18" xfId="1" applyNumberFormat="1" applyFont="1" applyFill="1" applyBorder="1"/>
    <xf numFmtId="165" fontId="0" fillId="0" borderId="20" xfId="1" applyNumberFormat="1" applyFont="1" applyFill="1" applyBorder="1"/>
    <xf numFmtId="10" fontId="4" fillId="6" borderId="38" xfId="2" applyNumberFormat="1" applyFont="1" applyFill="1" applyBorder="1"/>
    <xf numFmtId="0" fontId="2" fillId="10" borderId="3" xfId="0" applyFont="1" applyFill="1" applyBorder="1" applyAlignment="1">
      <alignment horizontal="center"/>
    </xf>
    <xf numFmtId="0" fontId="0" fillId="10" borderId="3" xfId="0" applyFont="1" applyFill="1" applyBorder="1" applyAlignment="1">
      <alignment horizontal="center"/>
    </xf>
    <xf numFmtId="0" fontId="2" fillId="10" borderId="2" xfId="0" applyFont="1" applyFill="1" applyBorder="1" applyAlignment="1">
      <alignment horizontal="center"/>
    </xf>
    <xf numFmtId="165" fontId="2" fillId="10" borderId="61" xfId="0" applyNumberFormat="1" applyFont="1" applyFill="1" applyBorder="1" applyAlignment="1">
      <alignment horizontal="center"/>
    </xf>
    <xf numFmtId="0" fontId="2" fillId="10" borderId="60" xfId="0" applyFont="1" applyFill="1" applyBorder="1" applyAlignment="1">
      <alignment horizontal="center"/>
    </xf>
    <xf numFmtId="165" fontId="2" fillId="10" borderId="84" xfId="0" applyNumberFormat="1" applyFont="1" applyFill="1" applyBorder="1" applyAlignment="1">
      <alignment horizontal="center"/>
    </xf>
    <xf numFmtId="165" fontId="2" fillId="10" borderId="75" xfId="0" applyNumberFormat="1" applyFont="1" applyFill="1" applyBorder="1" applyAlignment="1">
      <alignment horizontal="center"/>
    </xf>
    <xf numFmtId="0" fontId="2" fillId="10" borderId="76" xfId="0" applyFont="1" applyFill="1" applyBorder="1" applyAlignment="1">
      <alignment horizontal="center"/>
    </xf>
    <xf numFmtId="165" fontId="0" fillId="0" borderId="21" xfId="1" applyNumberFormat="1" applyFont="1" applyFill="1" applyBorder="1"/>
    <xf numFmtId="165" fontId="0" fillId="16" borderId="71" xfId="0" applyNumberFormat="1" applyFill="1" applyBorder="1"/>
    <xf numFmtId="10" fontId="4" fillId="10" borderId="42" xfId="0" applyNumberFormat="1" applyFont="1" applyFill="1" applyBorder="1"/>
    <xf numFmtId="165" fontId="0" fillId="10" borderId="58" xfId="0" applyNumberFormat="1" applyFill="1" applyBorder="1"/>
    <xf numFmtId="10" fontId="4" fillId="10" borderId="32" xfId="2" applyNumberFormat="1" applyFont="1" applyFill="1" applyBorder="1"/>
    <xf numFmtId="165" fontId="0" fillId="0" borderId="18" xfId="0" applyNumberFormat="1" applyFill="1" applyBorder="1"/>
    <xf numFmtId="0" fontId="2" fillId="0" borderId="25" xfId="0" applyFont="1" applyFill="1" applyBorder="1" applyAlignment="1">
      <alignment horizontal="center"/>
    </xf>
    <xf numFmtId="165" fontId="0" fillId="0" borderId="51" xfId="0" applyNumberFormat="1" applyFont="1" applyFill="1" applyBorder="1" applyAlignment="1">
      <alignment horizontal="center"/>
    </xf>
    <xf numFmtId="0" fontId="0" fillId="17" borderId="0" xfId="0" applyFill="1" applyBorder="1"/>
    <xf numFmtId="165" fontId="0" fillId="0" borderId="1" xfId="0" applyNumberFormat="1" applyFill="1" applyBorder="1"/>
    <xf numFmtId="165" fontId="1" fillId="0" borderId="58" xfId="1" applyNumberFormat="1" applyFont="1" applyFill="1" applyBorder="1" applyAlignment="1">
      <alignment horizontal="center"/>
    </xf>
    <xf numFmtId="0" fontId="2" fillId="5" borderId="18" xfId="0" applyFont="1" applyFill="1" applyBorder="1" applyAlignment="1">
      <alignment horizontal="center"/>
    </xf>
    <xf numFmtId="0" fontId="2" fillId="3" borderId="12" xfId="0" applyFont="1" applyFill="1" applyBorder="1" applyAlignment="1">
      <alignment horizontal="center"/>
    </xf>
    <xf numFmtId="0" fontId="2" fillId="3" borderId="13" xfId="0" applyFont="1" applyFill="1" applyBorder="1" applyAlignment="1">
      <alignment horizontal="center"/>
    </xf>
    <xf numFmtId="10" fontId="4" fillId="6" borderId="48" xfId="2" applyNumberFormat="1" applyFont="1" applyFill="1" applyBorder="1"/>
    <xf numFmtId="165" fontId="0" fillId="0" borderId="48" xfId="0" applyNumberFormat="1" applyFont="1" applyFill="1" applyBorder="1" applyAlignment="1">
      <alignment horizontal="center"/>
    </xf>
    <xf numFmtId="165" fontId="0" fillId="0" borderId="37" xfId="0" applyNumberFormat="1" applyFont="1" applyFill="1" applyBorder="1" applyAlignment="1">
      <alignment horizontal="center"/>
    </xf>
    <xf numFmtId="164" fontId="0" fillId="0" borderId="0" xfId="0" applyNumberFormat="1"/>
    <xf numFmtId="0" fontId="0" fillId="0" borderId="42" xfId="0" applyBorder="1"/>
    <xf numFmtId="0" fontId="9" fillId="10" borderId="0" xfId="0" applyFont="1" applyFill="1"/>
    <xf numFmtId="0" fontId="2" fillId="7" borderId="5" xfId="0" applyFont="1" applyFill="1" applyBorder="1" applyAlignment="1">
      <alignment horizontal="center"/>
    </xf>
    <xf numFmtId="0" fontId="0" fillId="0" borderId="33" xfId="0" applyBorder="1"/>
    <xf numFmtId="0" fontId="0" fillId="0" borderId="46" xfId="0" applyBorder="1"/>
    <xf numFmtId="165" fontId="1" fillId="0" borderId="18" xfId="1" applyNumberFormat="1" applyFont="1" applyBorder="1"/>
    <xf numFmtId="165" fontId="1" fillId="0" borderId="58" xfId="1" applyNumberFormat="1" applyFont="1" applyBorder="1"/>
    <xf numFmtId="165" fontId="0" fillId="0" borderId="51" xfId="0" applyNumberFormat="1" applyFont="1" applyBorder="1"/>
    <xf numFmtId="10" fontId="4" fillId="6" borderId="52" xfId="0" applyNumberFormat="1" applyFont="1" applyFill="1" applyBorder="1"/>
    <xf numFmtId="165" fontId="0" fillId="0" borderId="52" xfId="0" applyNumberFormat="1" applyFont="1" applyBorder="1"/>
    <xf numFmtId="0" fontId="0" fillId="0" borderId="33" xfId="0" applyFont="1" applyBorder="1" applyAlignment="1">
      <alignment horizontal="right"/>
    </xf>
    <xf numFmtId="0" fontId="0" fillId="0" borderId="46" xfId="0" applyFont="1" applyBorder="1" applyAlignment="1">
      <alignment horizontal="right"/>
    </xf>
    <xf numFmtId="10" fontId="4" fillId="6" borderId="46" xfId="0" applyNumberFormat="1" applyFont="1" applyFill="1" applyBorder="1"/>
    <xf numFmtId="10" fontId="4" fillId="6" borderId="63" xfId="0" applyNumberFormat="1" applyFont="1" applyFill="1" applyBorder="1"/>
    <xf numFmtId="10" fontId="4" fillId="6" borderId="64" xfId="0" applyNumberFormat="1" applyFont="1" applyFill="1" applyBorder="1"/>
    <xf numFmtId="10" fontId="4" fillId="6" borderId="66" xfId="0" applyNumberFormat="1" applyFont="1" applyFill="1" applyBorder="1"/>
    <xf numFmtId="165" fontId="0" fillId="0" borderId="44" xfId="1" applyNumberFormat="1" applyFont="1" applyBorder="1"/>
    <xf numFmtId="0" fontId="2" fillId="3" borderId="46" xfId="0" applyFont="1" applyFill="1" applyBorder="1" applyAlignment="1">
      <alignment horizontal="center"/>
    </xf>
    <xf numFmtId="3" fontId="0" fillId="3" borderId="14" xfId="0" applyNumberFormat="1" applyFill="1" applyBorder="1"/>
    <xf numFmtId="0" fontId="2" fillId="3" borderId="53" xfId="0" applyFont="1" applyFill="1" applyBorder="1" applyAlignment="1">
      <alignment horizontal="center"/>
    </xf>
    <xf numFmtId="44" fontId="0" fillId="3" borderId="14" xfId="0" applyNumberFormat="1" applyFill="1" applyBorder="1"/>
    <xf numFmtId="44" fontId="0" fillId="3" borderId="15" xfId="0" applyNumberFormat="1" applyFill="1" applyBorder="1"/>
    <xf numFmtId="44" fontId="0" fillId="4" borderId="58" xfId="1" applyFont="1" applyFill="1" applyBorder="1" applyAlignment="1">
      <alignment horizontal="right"/>
    </xf>
    <xf numFmtId="44" fontId="1" fillId="4" borderId="58" xfId="1" applyFont="1" applyFill="1" applyBorder="1" applyAlignment="1">
      <alignment horizontal="center"/>
    </xf>
    <xf numFmtId="44" fontId="0" fillId="4" borderId="51" xfId="1" applyFont="1" applyFill="1" applyBorder="1"/>
    <xf numFmtId="44" fontId="0" fillId="4" borderId="52" xfId="1" applyFont="1" applyFill="1" applyBorder="1"/>
    <xf numFmtId="44" fontId="0" fillId="3" borderId="51" xfId="0" applyNumberFormat="1" applyFill="1" applyBorder="1"/>
    <xf numFmtId="44" fontId="0" fillId="3" borderId="52" xfId="0" applyNumberFormat="1" applyFill="1" applyBorder="1"/>
    <xf numFmtId="44" fontId="1" fillId="2" borderId="51" xfId="1" applyFont="1" applyFill="1" applyBorder="1" applyAlignment="1">
      <alignment horizontal="center"/>
    </xf>
    <xf numFmtId="44" fontId="0" fillId="2" borderId="51" xfId="1" applyFont="1" applyFill="1" applyBorder="1"/>
    <xf numFmtId="44" fontId="0" fillId="2" borderId="52" xfId="1" applyFont="1" applyFill="1" applyBorder="1"/>
    <xf numFmtId="44" fontId="0" fillId="2" borderId="58" xfId="0" applyNumberFormat="1" applyFill="1" applyBorder="1"/>
    <xf numFmtId="44" fontId="0" fillId="2" borderId="51" xfId="0" applyNumberFormat="1" applyFill="1" applyBorder="1"/>
    <xf numFmtId="44" fontId="0" fillId="2" borderId="52" xfId="0" applyNumberFormat="1" applyFill="1" applyBorder="1"/>
    <xf numFmtId="44" fontId="0" fillId="2" borderId="64" xfId="0" applyNumberFormat="1" applyFill="1" applyBorder="1"/>
    <xf numFmtId="44" fontId="0" fillId="2" borderId="66" xfId="0" applyNumberFormat="1" applyFill="1" applyBorder="1"/>
    <xf numFmtId="44" fontId="0" fillId="2" borderId="58" xfId="1" applyFont="1" applyFill="1" applyBorder="1"/>
    <xf numFmtId="44" fontId="0" fillId="0" borderId="58" xfId="0" applyNumberFormat="1" applyFill="1" applyBorder="1"/>
    <xf numFmtId="0" fontId="2" fillId="3" borderId="55" xfId="0" applyFont="1" applyFill="1" applyBorder="1" applyAlignment="1">
      <alignment horizontal="center"/>
    </xf>
    <xf numFmtId="44" fontId="0" fillId="3" borderId="45" xfId="0" applyNumberFormat="1" applyFill="1" applyBorder="1"/>
    <xf numFmtId="44" fontId="0" fillId="3" borderId="56" xfId="0" applyNumberFormat="1" applyFill="1" applyBorder="1"/>
    <xf numFmtId="44" fontId="0" fillId="3" borderId="57" xfId="0" applyNumberFormat="1" applyFill="1" applyBorder="1"/>
    <xf numFmtId="165" fontId="0" fillId="3" borderId="58" xfId="1" applyNumberFormat="1" applyFont="1" applyFill="1" applyBorder="1" applyAlignment="1">
      <alignment horizontal="center"/>
    </xf>
    <xf numFmtId="165" fontId="0" fillId="3" borderId="52" xfId="1" applyNumberFormat="1" applyFont="1" applyFill="1" applyBorder="1"/>
    <xf numFmtId="10" fontId="4" fillId="6" borderId="51" xfId="2" applyNumberFormat="1" applyFont="1" applyFill="1" applyBorder="1"/>
    <xf numFmtId="10" fontId="4" fillId="6" borderId="52" xfId="2" applyNumberFormat="1" applyFont="1" applyFill="1" applyBorder="1"/>
    <xf numFmtId="0" fontId="0" fillId="0" borderId="18" xfId="0" applyBorder="1"/>
    <xf numFmtId="44" fontId="0" fillId="2" borderId="58" xfId="0" applyNumberFormat="1" applyFont="1" applyFill="1" applyBorder="1" applyAlignment="1">
      <alignment horizontal="center"/>
    </xf>
    <xf numFmtId="0" fontId="2" fillId="0" borderId="53" xfId="0" applyFont="1" applyBorder="1" applyAlignment="1">
      <alignment horizontal="center"/>
    </xf>
    <xf numFmtId="0" fontId="2" fillId="0" borderId="58" xfId="0" applyFont="1" applyBorder="1" applyAlignment="1">
      <alignment horizontal="center"/>
    </xf>
    <xf numFmtId="0" fontId="2" fillId="0" borderId="17" xfId="0" applyFont="1" applyBorder="1" applyAlignment="1">
      <alignment horizontal="center"/>
    </xf>
    <xf numFmtId="0" fontId="0" fillId="0" borderId="65" xfId="0" applyBorder="1"/>
    <xf numFmtId="0" fontId="2" fillId="4" borderId="53" xfId="0" applyFont="1" applyFill="1" applyBorder="1" applyAlignment="1">
      <alignment horizontal="center"/>
    </xf>
    <xf numFmtId="3" fontId="0" fillId="4" borderId="58" xfId="0" applyNumberFormat="1" applyFont="1" applyFill="1" applyBorder="1" applyAlignment="1">
      <alignment horizontal="right"/>
    </xf>
    <xf numFmtId="3" fontId="1" fillId="4" borderId="51" xfId="1" applyNumberFormat="1" applyFont="1" applyFill="1" applyBorder="1" applyAlignment="1">
      <alignment horizontal="right"/>
    </xf>
    <xf numFmtId="3" fontId="1" fillId="4" borderId="17" xfId="1" applyNumberFormat="1" applyFont="1" applyFill="1" applyBorder="1" applyAlignment="1">
      <alignment horizontal="right"/>
    </xf>
    <xf numFmtId="3" fontId="0" fillId="4" borderId="51" xfId="0" applyNumberFormat="1" applyFill="1" applyBorder="1"/>
    <xf numFmtId="3" fontId="0" fillId="4" borderId="52" xfId="0" applyNumberFormat="1" applyFill="1" applyBorder="1"/>
    <xf numFmtId="44" fontId="0" fillId="4" borderId="58" xfId="0" applyNumberFormat="1" applyFont="1" applyFill="1" applyBorder="1" applyAlignment="1">
      <alignment horizontal="right"/>
    </xf>
    <xf numFmtId="44" fontId="0" fillId="4" borderId="51" xfId="1" applyFont="1" applyFill="1" applyBorder="1" applyAlignment="1">
      <alignment horizontal="right"/>
    </xf>
    <xf numFmtId="0" fontId="2" fillId="2" borderId="49" xfId="0" applyFont="1" applyFill="1" applyBorder="1" applyAlignment="1">
      <alignment horizontal="center"/>
    </xf>
    <xf numFmtId="44" fontId="0" fillId="4" borderId="61" xfId="0" applyNumberFormat="1" applyFill="1" applyBorder="1"/>
    <xf numFmtId="44" fontId="0" fillId="4" borderId="51" xfId="0" applyNumberFormat="1" applyFill="1" applyBorder="1"/>
    <xf numFmtId="44" fontId="0" fillId="4" borderId="17" xfId="0" applyNumberFormat="1" applyFill="1" applyBorder="1"/>
    <xf numFmtId="44" fontId="0" fillId="4" borderId="52" xfId="0" applyNumberFormat="1" applyFill="1" applyBorder="1"/>
    <xf numFmtId="0" fontId="2" fillId="2" borderId="53" xfId="0" applyFont="1" applyFill="1" applyBorder="1" applyAlignment="1">
      <alignment horizontal="center"/>
    </xf>
    <xf numFmtId="3" fontId="0" fillId="2" borderId="51" xfId="0" applyNumberFormat="1" applyFont="1" applyFill="1" applyBorder="1" applyAlignment="1">
      <alignment horizontal="right"/>
    </xf>
    <xf numFmtId="3" fontId="0" fillId="2" borderId="17" xfId="0" applyNumberFormat="1" applyFill="1" applyBorder="1"/>
    <xf numFmtId="3" fontId="0" fillId="2" borderId="51" xfId="0" applyNumberFormat="1" applyFill="1" applyBorder="1"/>
    <xf numFmtId="3" fontId="0" fillId="2" borderId="51" xfId="0" applyNumberFormat="1" applyFont="1" applyFill="1" applyBorder="1"/>
    <xf numFmtId="3" fontId="0" fillId="2" borderId="52" xfId="0" applyNumberFormat="1" applyFill="1" applyBorder="1"/>
    <xf numFmtId="44" fontId="0" fillId="2" borderId="51" xfId="0" applyNumberFormat="1" applyFont="1" applyFill="1" applyBorder="1" applyAlignment="1">
      <alignment horizontal="right"/>
    </xf>
    <xf numFmtId="44" fontId="1" fillId="2" borderId="17" xfId="1" applyFont="1" applyFill="1" applyBorder="1" applyAlignment="1">
      <alignment horizontal="center"/>
    </xf>
    <xf numFmtId="44" fontId="0" fillId="2" borderId="17" xfId="0" applyNumberFormat="1" applyFill="1" applyBorder="1"/>
    <xf numFmtId="3" fontId="1" fillId="4" borderId="58" xfId="1" applyNumberFormat="1" applyFont="1" applyFill="1" applyBorder="1" applyAlignment="1">
      <alignment horizontal="right"/>
    </xf>
    <xf numFmtId="1" fontId="1" fillId="4" borderId="51" xfId="1" applyNumberFormat="1" applyFont="1" applyFill="1" applyBorder="1" applyAlignment="1">
      <alignment horizontal="right"/>
    </xf>
    <xf numFmtId="44" fontId="0" fillId="4" borderId="58" xfId="0" applyNumberFormat="1" applyFill="1" applyBorder="1"/>
    <xf numFmtId="0" fontId="0" fillId="2" borderId="51" xfId="0" applyFont="1" applyFill="1" applyBorder="1" applyAlignment="1">
      <alignment horizontal="right"/>
    </xf>
    <xf numFmtId="3" fontId="10" fillId="2" borderId="51" xfId="0" applyNumberFormat="1" applyFont="1" applyFill="1" applyBorder="1"/>
    <xf numFmtId="165" fontId="0" fillId="0" borderId="63" xfId="0" applyNumberFormat="1" applyFont="1" applyFill="1" applyBorder="1" applyAlignment="1">
      <alignment horizontal="center"/>
    </xf>
    <xf numFmtId="165" fontId="0" fillId="0" borderId="64" xfId="1" applyNumberFormat="1" applyFont="1" applyBorder="1"/>
    <xf numFmtId="165" fontId="0" fillId="0" borderId="66" xfId="1" applyNumberFormat="1" applyFont="1" applyBorder="1"/>
    <xf numFmtId="165" fontId="0" fillId="0" borderId="43" xfId="0" applyNumberFormat="1" applyBorder="1"/>
    <xf numFmtId="165" fontId="0" fillId="0" borderId="64" xfId="0" applyNumberFormat="1" applyFont="1" applyFill="1" applyBorder="1" applyAlignment="1">
      <alignment horizontal="center"/>
    </xf>
    <xf numFmtId="165" fontId="0" fillId="0" borderId="64" xfId="0" applyNumberFormat="1" applyBorder="1"/>
    <xf numFmtId="165" fontId="0" fillId="0" borderId="66" xfId="0" applyNumberFormat="1" applyBorder="1"/>
    <xf numFmtId="10" fontId="1" fillId="16" borderId="57" xfId="2" applyNumberFormat="1" applyFont="1" applyFill="1" applyBorder="1"/>
    <xf numFmtId="10" fontId="4" fillId="6" borderId="57" xfId="2" applyNumberFormat="1" applyFont="1" applyFill="1" applyBorder="1"/>
    <xf numFmtId="10" fontId="4" fillId="6" borderId="30" xfId="2" applyNumberFormat="1" applyFont="1" applyFill="1" applyBorder="1"/>
    <xf numFmtId="165" fontId="1" fillId="0" borderId="58" xfId="0" applyNumberFormat="1" applyFont="1" applyBorder="1"/>
    <xf numFmtId="0" fontId="0" fillId="3" borderId="1" xfId="0" applyFont="1" applyFill="1" applyBorder="1" applyAlignment="1">
      <alignment horizontal="right"/>
    </xf>
    <xf numFmtId="0" fontId="0" fillId="0" borderId="21" xfId="0" applyBorder="1"/>
    <xf numFmtId="0" fontId="2" fillId="0" borderId="56" xfId="0" applyFont="1" applyBorder="1" applyAlignment="1">
      <alignment horizontal="center"/>
    </xf>
    <xf numFmtId="0" fontId="2" fillId="0" borderId="50" xfId="0" applyFont="1" applyBorder="1" applyAlignment="1">
      <alignment horizontal="center"/>
    </xf>
    <xf numFmtId="165" fontId="0" fillId="0" borderId="58" xfId="0" applyNumberFormat="1" applyFont="1" applyBorder="1"/>
    <xf numFmtId="0" fontId="0" fillId="0" borderId="6" xfId="0" applyBorder="1"/>
    <xf numFmtId="0" fontId="0" fillId="0" borderId="7" xfId="0" applyBorder="1"/>
    <xf numFmtId="0" fontId="0" fillId="3" borderId="25" xfId="0" applyFont="1" applyFill="1" applyBorder="1" applyAlignment="1">
      <alignment horizontal="right"/>
    </xf>
    <xf numFmtId="165" fontId="0" fillId="3" borderId="58" xfId="0" applyNumberFormat="1" applyFont="1" applyFill="1" applyBorder="1" applyAlignment="1">
      <alignment horizontal="right"/>
    </xf>
    <xf numFmtId="10" fontId="4" fillId="6" borderId="58" xfId="2" applyNumberFormat="1" applyFont="1" applyFill="1" applyBorder="1"/>
    <xf numFmtId="0" fontId="2" fillId="0" borderId="51" xfId="0" applyFont="1" applyBorder="1" applyAlignment="1">
      <alignment horizontal="center"/>
    </xf>
    <xf numFmtId="0" fontId="2" fillId="4" borderId="58" xfId="0" applyFont="1" applyFill="1" applyBorder="1" applyAlignment="1">
      <alignment horizontal="center"/>
    </xf>
    <xf numFmtId="3" fontId="0" fillId="4" borderId="58" xfId="0" applyNumberFormat="1" applyFill="1" applyBorder="1"/>
    <xf numFmtId="0" fontId="5" fillId="4" borderId="51" xfId="0" applyFont="1" applyFill="1" applyBorder="1" applyAlignment="1">
      <alignment vertical="center"/>
    </xf>
    <xf numFmtId="0" fontId="2" fillId="4" borderId="51" xfId="0" applyFont="1" applyFill="1" applyBorder="1" applyAlignment="1">
      <alignment horizontal="center"/>
    </xf>
    <xf numFmtId="44" fontId="0" fillId="4" borderId="17" xfId="1" applyFont="1" applyFill="1" applyBorder="1" applyAlignment="1">
      <alignment horizontal="right"/>
    </xf>
    <xf numFmtId="0" fontId="2" fillId="2" borderId="51" xfId="0" applyFont="1" applyFill="1" applyBorder="1" applyAlignment="1">
      <alignment horizontal="center"/>
    </xf>
    <xf numFmtId="3" fontId="0" fillId="2" borderId="58" xfId="0" applyNumberFormat="1" applyFill="1" applyBorder="1"/>
    <xf numFmtId="0" fontId="0" fillId="3" borderId="45" xfId="0" applyFont="1" applyFill="1" applyBorder="1" applyAlignment="1">
      <alignment horizontal="right"/>
    </xf>
    <xf numFmtId="165" fontId="0" fillId="3" borderId="51" xfId="0" applyNumberFormat="1" applyFont="1" applyFill="1" applyBorder="1" applyAlignment="1">
      <alignment horizontal="center"/>
    </xf>
    <xf numFmtId="0" fontId="2" fillId="4" borderId="0" xfId="0" applyFont="1" applyFill="1" applyBorder="1" applyAlignment="1">
      <alignment horizontal="center"/>
    </xf>
    <xf numFmtId="0" fontId="2" fillId="0" borderId="65" xfId="0" applyFont="1" applyBorder="1" applyAlignment="1">
      <alignment horizontal="center"/>
    </xf>
    <xf numFmtId="0" fontId="0" fillId="2" borderId="51" xfId="0" applyFill="1" applyBorder="1"/>
    <xf numFmtId="44" fontId="0" fillId="4" borderId="51" xfId="0" applyNumberFormat="1" applyFont="1" applyFill="1" applyBorder="1" applyAlignment="1">
      <alignment horizontal="right"/>
    </xf>
    <xf numFmtId="3" fontId="0" fillId="0" borderId="51" xfId="0" applyNumberFormat="1" applyBorder="1"/>
    <xf numFmtId="3" fontId="0" fillId="4" borderId="17" xfId="0" applyNumberFormat="1" applyFont="1" applyFill="1" applyBorder="1" applyAlignment="1">
      <alignment horizontal="right"/>
    </xf>
    <xf numFmtId="3" fontId="0" fillId="4" borderId="17" xfId="0" applyNumberFormat="1" applyFill="1" applyBorder="1"/>
    <xf numFmtId="3" fontId="0" fillId="10" borderId="52" xfId="0" applyNumberFormat="1" applyFill="1" applyBorder="1"/>
    <xf numFmtId="44" fontId="0" fillId="10" borderId="14" xfId="0" applyNumberFormat="1" applyFill="1" applyBorder="1"/>
    <xf numFmtId="44" fontId="0" fillId="10" borderId="15" xfId="0" applyNumberFormat="1" applyFill="1" applyBorder="1"/>
    <xf numFmtId="44" fontId="0" fillId="4" borderId="61" xfId="1" applyFont="1" applyFill="1" applyBorder="1" applyAlignment="1">
      <alignment horizontal="right"/>
    </xf>
    <xf numFmtId="44" fontId="0" fillId="10" borderId="58" xfId="1" applyFont="1" applyFill="1" applyBorder="1" applyAlignment="1">
      <alignment horizontal="right"/>
    </xf>
    <xf numFmtId="44" fontId="1" fillId="10" borderId="58" xfId="1" applyFont="1" applyFill="1" applyBorder="1" applyAlignment="1">
      <alignment horizontal="center"/>
    </xf>
    <xf numFmtId="3" fontId="0" fillId="10" borderId="14" xfId="0" applyNumberFormat="1" applyFill="1" applyBorder="1"/>
    <xf numFmtId="3" fontId="0" fillId="10" borderId="15" xfId="0" applyNumberFormat="1" applyFill="1" applyBorder="1"/>
    <xf numFmtId="44" fontId="0" fillId="10" borderId="51" xfId="0" applyNumberFormat="1" applyFill="1" applyBorder="1"/>
    <xf numFmtId="44" fontId="0" fillId="10" borderId="52" xfId="0" applyNumberFormat="1" applyFill="1" applyBorder="1"/>
    <xf numFmtId="0" fontId="2" fillId="2" borderId="17" xfId="0" applyFont="1" applyFill="1" applyBorder="1" applyAlignment="1">
      <alignment horizontal="center"/>
    </xf>
    <xf numFmtId="0" fontId="2" fillId="2" borderId="58" xfId="0" applyFont="1" applyFill="1" applyBorder="1" applyAlignment="1">
      <alignment horizontal="center"/>
    </xf>
    <xf numFmtId="44" fontId="1" fillId="10" borderId="51" xfId="1" applyFont="1" applyFill="1" applyBorder="1" applyAlignment="1">
      <alignment horizontal="center"/>
    </xf>
    <xf numFmtId="0" fontId="0" fillId="3" borderId="14" xfId="0" applyFont="1" applyFill="1" applyBorder="1" applyAlignment="1">
      <alignment horizontal="center"/>
    </xf>
    <xf numFmtId="44" fontId="0" fillId="3" borderId="77" xfId="0" applyNumberFormat="1" applyFill="1" applyBorder="1"/>
    <xf numFmtId="165" fontId="0" fillId="3" borderId="58" xfId="1" applyNumberFormat="1" applyFont="1" applyFill="1" applyBorder="1" applyAlignment="1">
      <alignment horizontal="right"/>
    </xf>
    <xf numFmtId="0" fontId="0" fillId="0" borderId="17" xfId="0" applyFont="1" applyFill="1" applyBorder="1" applyAlignment="1">
      <alignment horizontal="center"/>
    </xf>
    <xf numFmtId="0" fontId="0" fillId="20" borderId="0" xfId="0" applyFill="1"/>
    <xf numFmtId="0" fontId="0" fillId="0" borderId="54" xfId="0" applyBorder="1"/>
    <xf numFmtId="0" fontId="0" fillId="0" borderId="54" xfId="0" applyFont="1" applyBorder="1"/>
    <xf numFmtId="0" fontId="0" fillId="0" borderId="42" xfId="0" applyFont="1" applyBorder="1"/>
    <xf numFmtId="0" fontId="0" fillId="0" borderId="43" xfId="0" applyFont="1" applyBorder="1"/>
    <xf numFmtId="0" fontId="2" fillId="0" borderId="16" xfId="0" applyFont="1" applyBorder="1" applyAlignment="1">
      <alignment horizontal="center"/>
    </xf>
    <xf numFmtId="0" fontId="0" fillId="2" borderId="18" xfId="0" applyFill="1" applyBorder="1"/>
    <xf numFmtId="0" fontId="2" fillId="2" borderId="16" xfId="0" applyFont="1" applyFill="1" applyBorder="1" applyAlignment="1">
      <alignment horizontal="center"/>
    </xf>
    <xf numFmtId="0" fontId="0" fillId="0" borderId="12" xfId="0" applyBorder="1"/>
    <xf numFmtId="0" fontId="0" fillId="0" borderId="27" xfId="0" applyBorder="1"/>
    <xf numFmtId="0" fontId="0" fillId="0" borderId="26" xfId="0" applyBorder="1"/>
    <xf numFmtId="0" fontId="0" fillId="0" borderId="68" xfId="0" applyBorder="1"/>
    <xf numFmtId="0" fontId="2" fillId="0" borderId="53" xfId="0" applyFont="1" applyBorder="1"/>
    <xf numFmtId="0" fontId="2" fillId="0" borderId="61" xfId="0" applyFont="1" applyFill="1" applyBorder="1" applyAlignment="1">
      <alignment horizontal="center"/>
    </xf>
    <xf numFmtId="44" fontId="1" fillId="4" borderId="51" xfId="1" applyFont="1" applyFill="1" applyBorder="1" applyAlignment="1">
      <alignment horizontal="center"/>
    </xf>
    <xf numFmtId="44" fontId="0" fillId="4" borderId="58" xfId="1" applyFont="1" applyFill="1" applyBorder="1"/>
    <xf numFmtId="0" fontId="2" fillId="0" borderId="14" xfId="0" applyFont="1" applyFill="1" applyBorder="1" applyAlignment="1">
      <alignment horizontal="center"/>
    </xf>
    <xf numFmtId="0" fontId="2" fillId="0" borderId="51" xfId="0" applyFont="1" applyFill="1" applyBorder="1" applyAlignment="1">
      <alignment horizontal="center"/>
    </xf>
    <xf numFmtId="3" fontId="0" fillId="10" borderId="17" xfId="0" applyNumberFormat="1" applyFill="1" applyBorder="1"/>
    <xf numFmtId="165" fontId="0" fillId="0" borderId="0" xfId="0" applyNumberFormat="1" applyFont="1" applyFill="1" applyBorder="1" applyAlignment="1">
      <alignment horizontal="center"/>
    </xf>
    <xf numFmtId="3" fontId="0" fillId="4" borderId="51" xfId="0" applyNumberFormat="1" applyFont="1" applyFill="1" applyBorder="1" applyAlignment="1">
      <alignment horizontal="right"/>
    </xf>
    <xf numFmtId="0" fontId="2" fillId="10" borderId="51" xfId="0" applyFont="1" applyFill="1" applyBorder="1" applyAlignment="1">
      <alignment horizontal="center"/>
    </xf>
    <xf numFmtId="0" fontId="2" fillId="10" borderId="14" xfId="0" applyFont="1" applyFill="1" applyBorder="1" applyAlignment="1">
      <alignment horizontal="center"/>
    </xf>
    <xf numFmtId="10" fontId="4" fillId="6" borderId="14" xfId="2" applyNumberFormat="1" applyFont="1" applyFill="1" applyBorder="1"/>
    <xf numFmtId="0" fontId="2" fillId="0" borderId="16" xfId="0" applyFont="1" applyBorder="1" applyAlignment="1">
      <alignment horizontal="center" vertical="center"/>
    </xf>
    <xf numFmtId="0" fontId="2" fillId="0" borderId="51" xfId="0" applyFont="1" applyBorder="1" applyAlignment="1">
      <alignment horizontal="center" vertical="center"/>
    </xf>
    <xf numFmtId="0" fontId="2" fillId="0" borderId="58" xfId="0" applyFont="1" applyBorder="1" applyAlignment="1">
      <alignment horizontal="center" vertical="center"/>
    </xf>
    <xf numFmtId="0" fontId="2" fillId="0" borderId="17" xfId="0" applyFont="1" applyBorder="1" applyAlignment="1">
      <alignment horizontal="center" vertical="center"/>
    </xf>
    <xf numFmtId="0" fontId="5" fillId="0" borderId="51" xfId="0" applyFont="1" applyBorder="1" applyAlignment="1">
      <alignment vertical="center"/>
    </xf>
    <xf numFmtId="3" fontId="0" fillId="4" borderId="18" xfId="0" applyNumberFormat="1" applyFont="1" applyFill="1" applyBorder="1" applyAlignment="1">
      <alignment horizontal="right"/>
    </xf>
    <xf numFmtId="44" fontId="0" fillId="4" borderId="18" xfId="0" applyNumberFormat="1" applyFont="1" applyFill="1" applyBorder="1" applyAlignment="1">
      <alignment horizontal="right"/>
    </xf>
    <xf numFmtId="0" fontId="2" fillId="4" borderId="5" xfId="0" applyFont="1" applyFill="1" applyBorder="1" applyAlignment="1">
      <alignment horizontal="center"/>
    </xf>
    <xf numFmtId="3" fontId="0" fillId="4" borderId="56" xfId="0" applyNumberFormat="1" applyFont="1" applyFill="1" applyBorder="1" applyAlignment="1">
      <alignment horizontal="right"/>
    </xf>
    <xf numFmtId="3" fontId="0" fillId="4" borderId="56" xfId="0" applyNumberFormat="1" applyFill="1" applyBorder="1"/>
    <xf numFmtId="0" fontId="2" fillId="2" borderId="18" xfId="0" applyFont="1" applyFill="1" applyBorder="1" applyAlignment="1">
      <alignment horizontal="center"/>
    </xf>
    <xf numFmtId="3" fontId="0" fillId="2" borderId="17" xfId="0" applyNumberFormat="1" applyFont="1" applyFill="1" applyBorder="1" applyAlignment="1">
      <alignment horizontal="right"/>
    </xf>
    <xf numFmtId="165" fontId="0" fillId="10" borderId="66" xfId="1" applyNumberFormat="1" applyFont="1" applyFill="1" applyBorder="1"/>
    <xf numFmtId="10" fontId="0" fillId="10" borderId="64" xfId="0" applyNumberFormat="1" applyFill="1" applyBorder="1"/>
    <xf numFmtId="9" fontId="0" fillId="10" borderId="66" xfId="2" applyFont="1" applyFill="1" applyBorder="1"/>
    <xf numFmtId="165" fontId="0" fillId="10" borderId="66" xfId="0" applyNumberFormat="1" applyFill="1" applyBorder="1"/>
    <xf numFmtId="44" fontId="0" fillId="10" borderId="64" xfId="1" applyFont="1" applyFill="1" applyBorder="1"/>
    <xf numFmtId="44" fontId="0" fillId="10" borderId="66" xfId="1" applyFont="1" applyFill="1" applyBorder="1"/>
    <xf numFmtId="0" fontId="2" fillId="0" borderId="53" xfId="0" applyFont="1" applyBorder="1" applyAlignment="1">
      <alignment horizontal="center" vertical="center"/>
    </xf>
    <xf numFmtId="0" fontId="2" fillId="0" borderId="52" xfId="0" applyFont="1" applyBorder="1" applyAlignment="1">
      <alignment horizontal="center" vertical="center"/>
    </xf>
    <xf numFmtId="0" fontId="2" fillId="4" borderId="17" xfId="0" applyFont="1" applyFill="1" applyBorder="1" applyAlignment="1">
      <alignment horizontal="center"/>
    </xf>
    <xf numFmtId="3" fontId="0" fillId="4" borderId="52" xfId="0" applyNumberFormat="1" applyFont="1" applyFill="1" applyBorder="1" applyAlignment="1">
      <alignment horizontal="right"/>
    </xf>
    <xf numFmtId="44" fontId="0" fillId="4" borderId="52" xfId="1" applyFont="1" applyFill="1" applyBorder="1" applyAlignment="1">
      <alignment horizontal="right"/>
    </xf>
    <xf numFmtId="44" fontId="1" fillId="2" borderId="15" xfId="1" applyFont="1" applyFill="1" applyBorder="1" applyAlignment="1">
      <alignment horizontal="center"/>
    </xf>
    <xf numFmtId="3" fontId="0" fillId="2" borderId="18" xfId="0" applyNumberFormat="1" applyFont="1" applyFill="1" applyBorder="1" applyAlignment="1">
      <alignment horizontal="right"/>
    </xf>
    <xf numFmtId="3" fontId="0" fillId="2" borderId="53" xfId="0" applyNumberFormat="1" applyFont="1" applyFill="1" applyBorder="1" applyAlignment="1">
      <alignment horizontal="right"/>
    </xf>
    <xf numFmtId="165" fontId="0" fillId="0" borderId="18" xfId="0" applyNumberFormat="1" applyFont="1" applyFill="1" applyBorder="1" applyAlignment="1">
      <alignment horizontal="right"/>
    </xf>
    <xf numFmtId="165" fontId="0" fillId="0" borderId="30" xfId="0" applyNumberFormat="1" applyFont="1" applyFill="1" applyBorder="1" applyAlignment="1">
      <alignment horizontal="right"/>
    </xf>
    <xf numFmtId="165" fontId="0" fillId="15" borderId="87" xfId="0" applyNumberFormat="1" applyFont="1" applyFill="1" applyBorder="1"/>
    <xf numFmtId="165" fontId="0" fillId="0" borderId="64" xfId="0" applyNumberFormat="1" applyFont="1" applyFill="1" applyBorder="1" applyAlignment="1">
      <alignment horizontal="right"/>
    </xf>
    <xf numFmtId="165" fontId="1" fillId="0" borderId="64" xfId="1" applyNumberFormat="1" applyFont="1" applyFill="1" applyBorder="1" applyAlignment="1">
      <alignment horizontal="center"/>
    </xf>
    <xf numFmtId="165" fontId="0" fillId="0" borderId="64" xfId="1" applyNumberFormat="1" applyFont="1" applyFill="1" applyBorder="1"/>
    <xf numFmtId="0" fontId="0" fillId="15" borderId="87" xfId="0" applyFont="1" applyFill="1" applyBorder="1"/>
    <xf numFmtId="165" fontId="0" fillId="0" borderId="64" xfId="1" applyNumberFormat="1" applyFont="1" applyFill="1" applyBorder="1" applyAlignment="1">
      <alignment horizontal="center"/>
    </xf>
    <xf numFmtId="0" fontId="0" fillId="15" borderId="78" xfId="0" applyFont="1" applyFill="1" applyBorder="1"/>
    <xf numFmtId="0" fontId="2" fillId="0" borderId="75" xfId="0" applyFont="1" applyBorder="1" applyAlignment="1">
      <alignment horizontal="center"/>
    </xf>
    <xf numFmtId="0" fontId="2" fillId="4" borderId="16" xfId="0" applyFont="1" applyFill="1" applyBorder="1" applyAlignment="1">
      <alignment horizontal="center"/>
    </xf>
    <xf numFmtId="3" fontId="0" fillId="0" borderId="51" xfId="0" applyNumberFormat="1" applyFill="1" applyBorder="1"/>
    <xf numFmtId="3" fontId="0" fillId="0" borderId="14" xfId="0" applyNumberFormat="1" applyFill="1" applyBorder="1"/>
    <xf numFmtId="0" fontId="0" fillId="0" borderId="8" xfId="0" applyFont="1" applyFill="1" applyBorder="1" applyAlignment="1">
      <alignment horizontal="right"/>
    </xf>
    <xf numFmtId="165" fontId="0" fillId="0" borderId="17" xfId="0" applyNumberFormat="1" applyFont="1" applyFill="1" applyBorder="1" applyAlignment="1">
      <alignment horizontal="right"/>
    </xf>
    <xf numFmtId="10" fontId="4" fillId="6" borderId="30" xfId="0" applyNumberFormat="1" applyFont="1" applyFill="1" applyBorder="1"/>
    <xf numFmtId="165" fontId="0" fillId="0" borderId="8" xfId="0" applyNumberFormat="1" applyFont="1" applyFill="1" applyBorder="1" applyAlignment="1">
      <alignment horizontal="center"/>
    </xf>
    <xf numFmtId="165" fontId="0" fillId="0" borderId="83" xfId="0" applyNumberFormat="1" applyFont="1" applyFill="1" applyBorder="1" applyAlignment="1">
      <alignment horizontal="center"/>
    </xf>
    <xf numFmtId="165" fontId="0" fillId="0" borderId="8" xfId="1" applyNumberFormat="1" applyFont="1" applyBorder="1"/>
    <xf numFmtId="0" fontId="0" fillId="12" borderId="4" xfId="0" applyFill="1" applyBorder="1"/>
    <xf numFmtId="0" fontId="0" fillId="12" borderId="8" xfId="0" applyFill="1" applyBorder="1" applyAlignment="1">
      <alignment horizontal="center"/>
    </xf>
    <xf numFmtId="3" fontId="0" fillId="0" borderId="15" xfId="0" applyNumberFormat="1" applyFill="1" applyBorder="1"/>
    <xf numFmtId="0" fontId="2" fillId="0" borderId="61" xfId="0" applyFont="1" applyFill="1" applyBorder="1" applyAlignment="1">
      <alignment horizontal="center" vertical="center"/>
    </xf>
    <xf numFmtId="3" fontId="0" fillId="2" borderId="61" xfId="0" applyNumberFormat="1" applyFont="1" applyFill="1" applyBorder="1" applyAlignment="1">
      <alignment horizontal="right"/>
    </xf>
    <xf numFmtId="165" fontId="1" fillId="11" borderId="64" xfId="1" applyNumberFormat="1" applyFont="1" applyFill="1" applyBorder="1"/>
    <xf numFmtId="165" fontId="0" fillId="0" borderId="66" xfId="1" applyNumberFormat="1" applyFont="1" applyFill="1" applyBorder="1"/>
    <xf numFmtId="0" fontId="2" fillId="4" borderId="61" xfId="0" applyFont="1" applyFill="1" applyBorder="1" applyAlignment="1">
      <alignment horizontal="center"/>
    </xf>
    <xf numFmtId="165" fontId="0" fillId="0" borderId="33" xfId="0" applyNumberFormat="1" applyBorder="1"/>
    <xf numFmtId="165" fontId="2" fillId="0" borderId="51" xfId="0" applyNumberFormat="1" applyFont="1" applyFill="1" applyBorder="1" applyAlignment="1">
      <alignment horizontal="center"/>
    </xf>
    <xf numFmtId="0" fontId="2" fillId="0" borderId="65" xfId="0" applyFont="1" applyBorder="1" applyAlignment="1">
      <alignment horizontal="center" vertical="center"/>
    </xf>
    <xf numFmtId="0" fontId="5" fillId="0" borderId="64" xfId="0" applyFont="1" applyBorder="1" applyAlignment="1">
      <alignment vertical="center"/>
    </xf>
    <xf numFmtId="0" fontId="2" fillId="4" borderId="65" xfId="0" applyFont="1" applyFill="1" applyBorder="1" applyAlignment="1">
      <alignment horizontal="center"/>
    </xf>
    <xf numFmtId="3" fontId="0" fillId="4" borderId="64" xfId="0" applyNumberFormat="1" applyFont="1" applyFill="1" applyBorder="1" applyAlignment="1">
      <alignment horizontal="right"/>
    </xf>
    <xf numFmtId="0" fontId="2" fillId="0" borderId="63" xfId="0" applyFont="1" applyBorder="1" applyAlignment="1">
      <alignment horizontal="center" vertical="center"/>
    </xf>
    <xf numFmtId="3" fontId="0" fillId="4" borderId="63" xfId="0" applyNumberFormat="1" applyFont="1" applyFill="1" applyBorder="1" applyAlignment="1">
      <alignment horizontal="right"/>
    </xf>
    <xf numFmtId="0" fontId="2" fillId="4" borderId="63" xfId="0" applyFont="1" applyFill="1" applyBorder="1" applyAlignment="1">
      <alignment horizontal="center"/>
    </xf>
    <xf numFmtId="3" fontId="0" fillId="4" borderId="18" xfId="0" applyNumberFormat="1" applyFill="1" applyBorder="1"/>
    <xf numFmtId="3" fontId="0" fillId="4" borderId="61" xfId="0" applyNumberFormat="1" applyFont="1" applyFill="1" applyBorder="1" applyAlignment="1">
      <alignment horizontal="right"/>
    </xf>
    <xf numFmtId="44" fontId="0" fillId="4" borderId="56" xfId="1" applyFont="1" applyFill="1" applyBorder="1"/>
    <xf numFmtId="3" fontId="0" fillId="4" borderId="58" xfId="0" applyNumberFormat="1" applyFont="1" applyFill="1" applyBorder="1"/>
    <xf numFmtId="44" fontId="0" fillId="4" borderId="30" xfId="1" applyFont="1" applyFill="1" applyBorder="1"/>
    <xf numFmtId="44" fontId="1" fillId="4" borderId="58" xfId="1" applyFont="1" applyFill="1" applyBorder="1" applyAlignment="1">
      <alignment horizontal="right"/>
    </xf>
    <xf numFmtId="3" fontId="3" fillId="4" borderId="52" xfId="0" applyNumberFormat="1" applyFont="1" applyFill="1" applyBorder="1" applyAlignment="1">
      <alignment vertical="center"/>
    </xf>
    <xf numFmtId="44" fontId="0" fillId="4" borderId="18" xfId="1" applyFont="1" applyFill="1" applyBorder="1"/>
    <xf numFmtId="3" fontId="0" fillId="4" borderId="64" xfId="0" applyNumberFormat="1" applyFill="1" applyBorder="1"/>
    <xf numFmtId="3" fontId="0" fillId="4" borderId="66" xfId="0" applyNumberFormat="1" applyFill="1" applyBorder="1"/>
    <xf numFmtId="165" fontId="2" fillId="0" borderId="43" xfId="0" applyNumberFormat="1" applyFont="1" applyFill="1" applyBorder="1" applyAlignment="1">
      <alignment horizontal="center"/>
    </xf>
    <xf numFmtId="165" fontId="0" fillId="0" borderId="44" xfId="0" applyNumberFormat="1" applyBorder="1"/>
    <xf numFmtId="10" fontId="4" fillId="6" borderId="44" xfId="0" applyNumberFormat="1" applyFont="1" applyFill="1" applyBorder="1"/>
    <xf numFmtId="3" fontId="0" fillId="10" borderId="64" xfId="0" applyNumberFormat="1" applyFill="1" applyBorder="1"/>
    <xf numFmtId="3" fontId="0" fillId="10" borderId="91" xfId="0" applyNumberFormat="1" applyFill="1" applyBorder="1"/>
    <xf numFmtId="0" fontId="2" fillId="0" borderId="48" xfId="0" applyFont="1" applyFill="1" applyBorder="1" applyAlignment="1">
      <alignment horizontal="center"/>
    </xf>
    <xf numFmtId="165" fontId="1" fillId="10" borderId="51" xfId="1" applyNumberFormat="1" applyFont="1" applyFill="1" applyBorder="1"/>
    <xf numFmtId="165" fontId="1" fillId="10" borderId="64" xfId="1" applyNumberFormat="1" applyFont="1" applyFill="1" applyBorder="1"/>
    <xf numFmtId="10" fontId="1" fillId="10" borderId="51" xfId="0" applyNumberFormat="1" applyFont="1" applyFill="1" applyBorder="1"/>
    <xf numFmtId="10" fontId="0" fillId="10" borderId="52" xfId="0" applyNumberFormat="1" applyFont="1" applyFill="1" applyBorder="1"/>
    <xf numFmtId="165" fontId="1" fillId="10" borderId="51" xfId="0" applyNumberFormat="1" applyFont="1" applyFill="1" applyBorder="1"/>
    <xf numFmtId="10" fontId="4" fillId="11" borderId="51" xfId="2" applyNumberFormat="1" applyFont="1" applyFill="1" applyBorder="1"/>
    <xf numFmtId="10" fontId="1" fillId="10" borderId="51" xfId="2" applyNumberFormat="1" applyFont="1" applyFill="1" applyBorder="1"/>
    <xf numFmtId="10" fontId="4" fillId="0" borderId="51" xfId="2" applyNumberFormat="1" applyFont="1" applyFill="1" applyBorder="1"/>
    <xf numFmtId="44" fontId="0" fillId="4" borderId="1" xfId="1" applyNumberFormat="1" applyFont="1" applyFill="1" applyBorder="1"/>
    <xf numFmtId="1" fontId="1" fillId="2" borderId="1" xfId="3" applyNumberFormat="1" applyFont="1" applyFill="1" applyBorder="1" applyAlignment="1"/>
    <xf numFmtId="1" fontId="1" fillId="2" borderId="33" xfId="3" applyNumberFormat="1" applyFont="1" applyFill="1" applyBorder="1" applyAlignment="1"/>
    <xf numFmtId="165" fontId="0" fillId="16" borderId="18" xfId="0" applyNumberFormat="1" applyFill="1" applyBorder="1"/>
    <xf numFmtId="3" fontId="0" fillId="11" borderId="14" xfId="0" applyNumberFormat="1" applyFill="1" applyBorder="1"/>
    <xf numFmtId="0" fontId="2" fillId="0" borderId="51" xfId="0" applyFont="1" applyFill="1" applyBorder="1" applyAlignment="1">
      <alignment horizontal="center" vertical="center"/>
    </xf>
    <xf numFmtId="0" fontId="2" fillId="10" borderId="51" xfId="0" applyFont="1" applyFill="1" applyBorder="1" applyAlignment="1">
      <alignment horizontal="center" vertical="center"/>
    </xf>
    <xf numFmtId="0" fontId="5" fillId="11" borderId="51" xfId="0" applyFont="1" applyFill="1" applyBorder="1" applyAlignment="1">
      <alignment vertical="center"/>
    </xf>
    <xf numFmtId="0" fontId="0" fillId="10" borderId="52" xfId="0" applyFill="1" applyBorder="1"/>
    <xf numFmtId="0" fontId="0" fillId="10" borderId="51" xfId="0" applyFill="1" applyBorder="1"/>
    <xf numFmtId="3" fontId="0" fillId="11" borderId="51" xfId="0" applyNumberFormat="1" applyFill="1" applyBorder="1"/>
    <xf numFmtId="44" fontId="0" fillId="11" borderId="51" xfId="1" applyFont="1" applyFill="1" applyBorder="1"/>
    <xf numFmtId="44" fontId="0" fillId="11" borderId="51" xfId="0" applyNumberFormat="1" applyFill="1" applyBorder="1"/>
    <xf numFmtId="0" fontId="2" fillId="10" borderId="25" xfId="0" applyFont="1" applyFill="1" applyBorder="1" applyAlignment="1">
      <alignment horizontal="center"/>
    </xf>
    <xf numFmtId="0" fontId="0" fillId="10" borderId="25" xfId="0" applyFill="1" applyBorder="1"/>
    <xf numFmtId="165" fontId="2" fillId="10" borderId="51" xfId="0" applyNumberFormat="1" applyFont="1" applyFill="1" applyBorder="1" applyAlignment="1">
      <alignment horizontal="center"/>
    </xf>
    <xf numFmtId="165" fontId="0" fillId="11" borderId="51" xfId="0" applyNumberFormat="1" applyFill="1" applyBorder="1"/>
    <xf numFmtId="165" fontId="2" fillId="4" borderId="51" xfId="0" applyNumberFormat="1" applyFont="1" applyFill="1" applyBorder="1" applyAlignment="1">
      <alignment horizontal="center"/>
    </xf>
    <xf numFmtId="0" fontId="0" fillId="2" borderId="52" xfId="0" applyFill="1" applyBorder="1"/>
    <xf numFmtId="44" fontId="0" fillId="13" borderId="51" xfId="0" applyNumberFormat="1" applyFill="1" applyBorder="1"/>
    <xf numFmtId="3" fontId="0" fillId="13" borderId="51" xfId="0" applyNumberFormat="1" applyFill="1" applyBorder="1"/>
    <xf numFmtId="44" fontId="0" fillId="13" borderId="51" xfId="1" applyFont="1" applyFill="1" applyBorder="1"/>
    <xf numFmtId="3" fontId="0" fillId="13" borderId="52" xfId="0" applyNumberFormat="1" applyFill="1" applyBorder="1"/>
    <xf numFmtId="44" fontId="0" fillId="13" borderId="52" xfId="1" applyFont="1" applyFill="1" applyBorder="1"/>
    <xf numFmtId="44" fontId="0" fillId="13" borderId="52" xfId="0" applyNumberFormat="1" applyFill="1" applyBorder="1"/>
    <xf numFmtId="3" fontId="0" fillId="13" borderId="51" xfId="0" applyNumberFormat="1" applyFont="1" applyFill="1" applyBorder="1" applyAlignment="1">
      <alignment horizontal="right"/>
    </xf>
    <xf numFmtId="0" fontId="2" fillId="13" borderId="51" xfId="0" applyFont="1" applyFill="1" applyBorder="1" applyAlignment="1">
      <alignment horizontal="center"/>
    </xf>
    <xf numFmtId="165" fontId="0" fillId="3" borderId="51" xfId="0" applyNumberFormat="1" applyFill="1" applyBorder="1"/>
    <xf numFmtId="165" fontId="0" fillId="3" borderId="52" xfId="0" applyNumberFormat="1" applyFill="1" applyBorder="1"/>
    <xf numFmtId="0" fontId="3" fillId="4" borderId="51" xfId="0" applyNumberFormat="1" applyFont="1" applyFill="1" applyBorder="1" applyAlignment="1">
      <alignment vertical="center"/>
    </xf>
    <xf numFmtId="0" fontId="3" fillId="4" borderId="52" xfId="0" applyFont="1" applyFill="1" applyBorder="1" applyAlignment="1">
      <alignment vertical="center"/>
    </xf>
    <xf numFmtId="44" fontId="0" fillId="8" borderId="51" xfId="1" applyFont="1" applyFill="1" applyBorder="1"/>
    <xf numFmtId="3" fontId="0" fillId="8" borderId="51" xfId="0" applyNumberFormat="1" applyFill="1" applyBorder="1"/>
    <xf numFmtId="3" fontId="0" fillId="8" borderId="52" xfId="0" applyNumberFormat="1" applyFill="1" applyBorder="1"/>
    <xf numFmtId="44" fontId="0" fillId="8" borderId="52" xfId="1" applyFont="1" applyFill="1" applyBorder="1"/>
    <xf numFmtId="1" fontId="3" fillId="2" borderId="52" xfId="0" applyNumberFormat="1" applyFont="1" applyFill="1" applyBorder="1" applyAlignment="1">
      <alignment vertical="center"/>
    </xf>
    <xf numFmtId="164" fontId="0" fillId="0" borderId="64" xfId="0" applyNumberFormat="1" applyBorder="1"/>
    <xf numFmtId="165" fontId="0" fillId="0" borderId="45" xfId="1" applyNumberFormat="1" applyFont="1" applyFill="1" applyBorder="1"/>
    <xf numFmtId="165" fontId="0" fillId="16" borderId="94" xfId="0" applyNumberFormat="1" applyFill="1" applyBorder="1"/>
    <xf numFmtId="165" fontId="0" fillId="16" borderId="95" xfId="0" applyNumberFormat="1" applyFill="1" applyBorder="1"/>
    <xf numFmtId="0" fontId="5" fillId="10" borderId="64" xfId="0" applyFont="1" applyFill="1" applyBorder="1" applyAlignment="1">
      <alignment vertical="center"/>
    </xf>
    <xf numFmtId="0" fontId="0" fillId="10" borderId="64" xfId="0" applyFill="1" applyBorder="1"/>
    <xf numFmtId="0" fontId="0" fillId="10" borderId="66" xfId="0" applyFill="1" applyBorder="1"/>
    <xf numFmtId="44" fontId="0" fillId="21" borderId="64" xfId="1" applyFont="1" applyFill="1" applyBorder="1"/>
    <xf numFmtId="0" fontId="9" fillId="10" borderId="65" xfId="0" applyFont="1" applyFill="1" applyBorder="1"/>
    <xf numFmtId="0" fontId="9" fillId="10" borderId="64" xfId="0" applyFont="1" applyFill="1" applyBorder="1"/>
    <xf numFmtId="164" fontId="9" fillId="11" borderId="11" xfId="0" applyNumberFormat="1" applyFont="1" applyFill="1" applyBorder="1"/>
    <xf numFmtId="164" fontId="9" fillId="0" borderId="0" xfId="0" applyNumberFormat="1" applyFont="1" applyFill="1" applyBorder="1"/>
    <xf numFmtId="164" fontId="9" fillId="11" borderId="18" xfId="0" applyNumberFormat="1" applyFont="1" applyFill="1" applyBorder="1"/>
    <xf numFmtId="0" fontId="16" fillId="0" borderId="0" xfId="0" applyFont="1" applyFill="1" applyBorder="1" applyAlignment="1">
      <alignment horizontal="center" wrapText="1"/>
    </xf>
    <xf numFmtId="0" fontId="9" fillId="10" borderId="66" xfId="0" applyFont="1" applyFill="1" applyBorder="1"/>
    <xf numFmtId="168" fontId="0" fillId="0" borderId="19" xfId="0" applyNumberFormat="1" applyBorder="1"/>
    <xf numFmtId="0" fontId="9" fillId="10" borderId="30" xfId="0" applyFont="1" applyFill="1" applyBorder="1"/>
    <xf numFmtId="0" fontId="9" fillId="10" borderId="83" xfId="0" applyFont="1" applyFill="1" applyBorder="1"/>
    <xf numFmtId="165" fontId="0" fillId="0" borderId="14" xfId="0" applyNumberFormat="1" applyBorder="1"/>
    <xf numFmtId="165" fontId="2" fillId="0" borderId="1" xfId="0" applyNumberFormat="1" applyFont="1" applyFill="1" applyBorder="1"/>
    <xf numFmtId="165" fontId="2" fillId="0" borderId="25" xfId="0" applyNumberFormat="1" applyFont="1" applyFill="1" applyBorder="1"/>
    <xf numFmtId="0" fontId="2" fillId="3" borderId="67" xfId="0" applyFont="1" applyFill="1" applyBorder="1" applyAlignment="1">
      <alignment horizontal="center"/>
    </xf>
    <xf numFmtId="0" fontId="2" fillId="3" borderId="58" xfId="0" applyFont="1" applyFill="1" applyBorder="1" applyAlignment="1">
      <alignment horizontal="center"/>
    </xf>
    <xf numFmtId="0" fontId="2" fillId="10" borderId="22" xfId="0" applyFont="1" applyFill="1" applyBorder="1" applyAlignment="1">
      <alignment horizontal="center"/>
    </xf>
    <xf numFmtId="165" fontId="0" fillId="0" borderId="61" xfId="0" applyNumberFormat="1" applyFont="1" applyBorder="1"/>
    <xf numFmtId="165" fontId="0" fillId="0" borderId="53" xfId="0" applyNumberFormat="1" applyFont="1" applyBorder="1"/>
    <xf numFmtId="10" fontId="4" fillId="6" borderId="45" xfId="2" applyNumberFormat="1" applyFont="1" applyFill="1" applyBorder="1"/>
    <xf numFmtId="0" fontId="0" fillId="0" borderId="49" xfId="0" applyBorder="1"/>
    <xf numFmtId="0" fontId="2" fillId="10" borderId="58" xfId="0" applyFont="1" applyFill="1" applyBorder="1" applyAlignment="1">
      <alignment horizontal="center"/>
    </xf>
    <xf numFmtId="0" fontId="0" fillId="3" borderId="64" xfId="0" applyFill="1" applyBorder="1"/>
    <xf numFmtId="0" fontId="0" fillId="3" borderId="66" xfId="0" applyFill="1" applyBorder="1"/>
    <xf numFmtId="0" fontId="2" fillId="2" borderId="41" xfId="0" applyFont="1" applyFill="1" applyBorder="1" applyAlignment="1">
      <alignment horizontal="center"/>
    </xf>
    <xf numFmtId="165" fontId="2" fillId="0" borderId="53" xfId="0" applyNumberFormat="1" applyFont="1" applyFill="1" applyBorder="1" applyAlignment="1">
      <alignment horizontal="center"/>
    </xf>
    <xf numFmtId="165" fontId="0" fillId="0" borderId="58" xfId="1" applyNumberFormat="1" applyFont="1" applyFill="1" applyBorder="1" applyAlignment="1">
      <alignment horizontal="right"/>
    </xf>
    <xf numFmtId="165" fontId="1" fillId="0" borderId="53" xfId="1" applyNumberFormat="1" applyFont="1" applyFill="1" applyBorder="1" applyAlignment="1">
      <alignment horizontal="center"/>
    </xf>
    <xf numFmtId="165" fontId="0" fillId="3" borderId="42" xfId="1" applyNumberFormat="1" applyFont="1" applyFill="1" applyBorder="1" applyAlignment="1">
      <alignment horizontal="right"/>
    </xf>
    <xf numFmtId="165" fontId="1" fillId="0" borderId="42" xfId="1" applyNumberFormat="1" applyFont="1" applyFill="1" applyBorder="1" applyAlignment="1">
      <alignment horizontal="center"/>
    </xf>
    <xf numFmtId="165" fontId="1" fillId="0" borderId="42" xfId="1" applyNumberFormat="1" applyFont="1" applyBorder="1"/>
    <xf numFmtId="0" fontId="2" fillId="0" borderId="58" xfId="0" applyFont="1" applyFill="1" applyBorder="1" applyAlignment="1">
      <alignment horizontal="center"/>
    </xf>
    <xf numFmtId="165" fontId="1" fillId="0" borderId="63" xfId="1" applyNumberFormat="1" applyFont="1" applyFill="1" applyBorder="1" applyAlignment="1">
      <alignment horizontal="center"/>
    </xf>
    <xf numFmtId="0" fontId="0" fillId="3" borderId="45" xfId="0" applyFont="1" applyFill="1" applyBorder="1" applyAlignment="1">
      <alignment horizontal="center"/>
    </xf>
    <xf numFmtId="0" fontId="0" fillId="3" borderId="33" xfId="0" applyFont="1" applyFill="1" applyBorder="1" applyAlignment="1">
      <alignment horizontal="center"/>
    </xf>
    <xf numFmtId="0" fontId="0" fillId="3" borderId="46" xfId="0" applyFont="1" applyFill="1" applyBorder="1" applyAlignment="1">
      <alignment horizontal="center"/>
    </xf>
    <xf numFmtId="0" fontId="0" fillId="0" borderId="31" xfId="0" applyBorder="1"/>
    <xf numFmtId="0" fontId="0" fillId="0" borderId="39" xfId="0" applyBorder="1"/>
    <xf numFmtId="165" fontId="0" fillId="0" borderId="20" xfId="0" applyNumberFormat="1" applyFill="1" applyBorder="1"/>
    <xf numFmtId="165" fontId="0" fillId="0" borderId="92" xfId="0" applyNumberFormat="1" applyFont="1" applyFill="1" applyBorder="1" applyAlignment="1">
      <alignment horizontal="center"/>
    </xf>
    <xf numFmtId="3" fontId="0" fillId="4" borderId="53" xfId="0" applyNumberFormat="1" applyFont="1" applyFill="1" applyBorder="1" applyAlignment="1">
      <alignment horizontal="right"/>
    </xf>
    <xf numFmtId="0" fontId="0" fillId="0" borderId="51" xfId="0" applyFont="1" applyBorder="1" applyAlignment="1">
      <alignment horizontal="right"/>
    </xf>
    <xf numFmtId="1" fontId="3" fillId="2" borderId="51" xfId="0" applyNumberFormat="1" applyFont="1" applyFill="1" applyBorder="1" applyAlignment="1">
      <alignment vertical="center"/>
    </xf>
    <xf numFmtId="0" fontId="0" fillId="3" borderId="14" xfId="0" applyFont="1" applyFill="1" applyBorder="1" applyAlignment="1">
      <alignment horizontal="right"/>
    </xf>
    <xf numFmtId="44" fontId="0" fillId="3" borderId="62" xfId="0" applyNumberFormat="1" applyFill="1" applyBorder="1"/>
    <xf numFmtId="0" fontId="2" fillId="0" borderId="67" xfId="0" applyFont="1" applyFill="1" applyBorder="1" applyAlignment="1">
      <alignment horizontal="center"/>
    </xf>
    <xf numFmtId="165" fontId="2" fillId="0" borderId="42" xfId="0" applyNumberFormat="1" applyFont="1" applyFill="1" applyBorder="1" applyAlignment="1">
      <alignment horizontal="center"/>
    </xf>
    <xf numFmtId="0" fontId="2" fillId="0" borderId="53" xfId="0" applyFont="1" applyFill="1" applyBorder="1" applyAlignment="1">
      <alignment horizontal="center"/>
    </xf>
    <xf numFmtId="165" fontId="2" fillId="8" borderId="4" xfId="0" applyNumberFormat="1" applyFont="1" applyFill="1" applyBorder="1" applyAlignment="1">
      <alignment horizontal="center"/>
    </xf>
    <xf numFmtId="165" fontId="0" fillId="0" borderId="53" xfId="0" applyNumberFormat="1" applyFont="1" applyFill="1" applyBorder="1" applyAlignment="1">
      <alignment horizontal="center"/>
    </xf>
    <xf numFmtId="165" fontId="2" fillId="0" borderId="65" xfId="0" applyNumberFormat="1" applyFont="1" applyFill="1" applyBorder="1" applyAlignment="1">
      <alignment horizontal="center"/>
    </xf>
    <xf numFmtId="0" fontId="5" fillId="10" borderId="58" xfId="0" applyFont="1" applyFill="1" applyBorder="1" applyAlignment="1">
      <alignment vertical="center"/>
    </xf>
    <xf numFmtId="10" fontId="0" fillId="10" borderId="42" xfId="2" applyNumberFormat="1" applyFont="1" applyFill="1" applyBorder="1"/>
    <xf numFmtId="165" fontId="0" fillId="0" borderId="53" xfId="1" applyNumberFormat="1" applyFont="1" applyFill="1" applyBorder="1" applyAlignment="1">
      <alignment horizontal="center"/>
    </xf>
    <xf numFmtId="165" fontId="0" fillId="0" borderId="48" xfId="1" applyNumberFormat="1" applyFont="1" applyBorder="1"/>
    <xf numFmtId="10" fontId="4" fillId="6" borderId="48" xfId="0" applyNumberFormat="1" applyFont="1" applyFill="1" applyBorder="1"/>
    <xf numFmtId="165" fontId="0" fillId="0" borderId="48" xfId="0" applyNumberFormat="1" applyBorder="1"/>
    <xf numFmtId="165" fontId="5" fillId="0" borderId="48" xfId="1" applyNumberFormat="1" applyFont="1" applyBorder="1" applyAlignment="1">
      <alignment vertical="center"/>
    </xf>
    <xf numFmtId="165" fontId="2" fillId="0" borderId="16" xfId="0" applyNumberFormat="1" applyFont="1" applyFill="1" applyBorder="1" applyAlignment="1">
      <alignment horizontal="center"/>
    </xf>
    <xf numFmtId="0" fontId="2" fillId="8" borderId="23" xfId="0" applyFont="1" applyFill="1" applyBorder="1" applyAlignment="1">
      <alignment horizontal="center"/>
    </xf>
    <xf numFmtId="0" fontId="0" fillId="2" borderId="58" xfId="0" applyFont="1" applyFill="1" applyBorder="1" applyAlignment="1">
      <alignment horizontal="right"/>
    </xf>
    <xf numFmtId="44" fontId="0" fillId="2" borderId="58" xfId="0" applyNumberFormat="1" applyFont="1" applyFill="1" applyBorder="1" applyAlignment="1">
      <alignment horizontal="right"/>
    </xf>
    <xf numFmtId="44" fontId="1" fillId="2" borderId="58" xfId="1" applyNumberFormat="1" applyFont="1" applyFill="1" applyBorder="1" applyAlignment="1">
      <alignment horizontal="center"/>
    </xf>
    <xf numFmtId="44" fontId="1" fillId="2" borderId="51" xfId="1" applyNumberFormat="1" applyFont="1" applyFill="1" applyBorder="1" applyAlignment="1">
      <alignment horizontal="center"/>
    </xf>
    <xf numFmtId="0" fontId="0" fillId="0" borderId="45" xfId="0" applyFont="1" applyBorder="1" applyAlignment="1">
      <alignment horizontal="right"/>
    </xf>
    <xf numFmtId="0" fontId="2" fillId="3" borderId="51" xfId="0" applyFont="1" applyFill="1" applyBorder="1" applyAlignment="1">
      <alignment horizontal="center"/>
    </xf>
    <xf numFmtId="3" fontId="0" fillId="4" borderId="51" xfId="0" applyNumberFormat="1" applyFont="1" applyFill="1" applyBorder="1"/>
    <xf numFmtId="0" fontId="2" fillId="2" borderId="24" xfId="0" applyFont="1" applyFill="1" applyBorder="1" applyAlignment="1">
      <alignment horizontal="center"/>
    </xf>
    <xf numFmtId="0" fontId="2" fillId="3" borderId="16" xfId="0" applyFont="1" applyFill="1" applyBorder="1" applyAlignment="1">
      <alignment horizontal="center"/>
    </xf>
    <xf numFmtId="0" fontId="2" fillId="3" borderId="5" xfId="0" applyFont="1" applyFill="1" applyBorder="1" applyAlignment="1">
      <alignment horizontal="center"/>
    </xf>
    <xf numFmtId="165" fontId="6" fillId="3" borderId="18" xfId="0" applyNumberFormat="1" applyFont="1" applyFill="1" applyBorder="1"/>
    <xf numFmtId="165" fontId="6" fillId="3" borderId="52" xfId="1" applyNumberFormat="1" applyFont="1" applyFill="1" applyBorder="1"/>
    <xf numFmtId="165" fontId="2" fillId="10" borderId="29" xfId="0" applyNumberFormat="1" applyFont="1" applyFill="1" applyBorder="1" applyAlignment="1">
      <alignment horizontal="center"/>
    </xf>
    <xf numFmtId="165" fontId="2" fillId="10" borderId="23" xfId="0" applyNumberFormat="1" applyFont="1" applyFill="1" applyBorder="1" applyAlignment="1">
      <alignment horizontal="center"/>
    </xf>
    <xf numFmtId="165" fontId="0" fillId="0" borderId="16" xfId="1" applyNumberFormat="1" applyFont="1" applyBorder="1"/>
    <xf numFmtId="0" fontId="2" fillId="2" borderId="28" xfId="0" applyFont="1" applyFill="1" applyBorder="1" applyAlignment="1">
      <alignment horizontal="center"/>
    </xf>
    <xf numFmtId="44" fontId="0" fillId="10" borderId="51" xfId="1" applyFont="1" applyFill="1" applyBorder="1" applyAlignment="1">
      <alignment horizontal="right"/>
    </xf>
    <xf numFmtId="0" fontId="2" fillId="4" borderId="56" xfId="0" applyFont="1" applyFill="1" applyBorder="1" applyAlignment="1">
      <alignment horizontal="center"/>
    </xf>
    <xf numFmtId="44" fontId="0" fillId="4" borderId="56" xfId="0" applyNumberFormat="1" applyFill="1" applyBorder="1"/>
    <xf numFmtId="0" fontId="0" fillId="0" borderId="58" xfId="0" applyFont="1" applyBorder="1" applyAlignment="1">
      <alignment horizontal="center"/>
    </xf>
    <xf numFmtId="0" fontId="0" fillId="0" borderId="17" xfId="0" applyFont="1" applyBorder="1" applyAlignment="1">
      <alignment horizontal="center"/>
    </xf>
    <xf numFmtId="0" fontId="0" fillId="0" borderId="52" xfId="0" applyFill="1" applyBorder="1"/>
    <xf numFmtId="0" fontId="0" fillId="0" borderId="90" xfId="0" applyBorder="1"/>
    <xf numFmtId="0" fontId="2" fillId="2" borderId="16" xfId="0" applyFont="1" applyFill="1" applyBorder="1"/>
    <xf numFmtId="0" fontId="2" fillId="2" borderId="4" xfId="0" applyFont="1" applyFill="1" applyBorder="1"/>
    <xf numFmtId="44" fontId="0" fillId="4" borderId="18" xfId="0" applyNumberFormat="1" applyFill="1" applyBorder="1"/>
    <xf numFmtId="0" fontId="2" fillId="2" borderId="55" xfId="0" applyFont="1" applyFill="1" applyBorder="1"/>
    <xf numFmtId="0" fontId="0" fillId="2" borderId="30" xfId="0" applyFill="1" applyBorder="1"/>
    <xf numFmtId="0" fontId="2" fillId="0" borderId="16" xfId="0" applyFont="1" applyBorder="1"/>
    <xf numFmtId="0" fontId="2" fillId="16" borderId="53" xfId="0" applyFont="1" applyFill="1" applyBorder="1" applyAlignment="1">
      <alignment horizontal="center"/>
    </xf>
    <xf numFmtId="0" fontId="2" fillId="16" borderId="17" xfId="0" applyFont="1" applyFill="1" applyBorder="1" applyAlignment="1">
      <alignment horizontal="center"/>
    </xf>
    <xf numFmtId="3" fontId="0" fillId="10" borderId="58" xfId="0" applyNumberFormat="1" applyFill="1" applyBorder="1"/>
    <xf numFmtId="3" fontId="0" fillId="16" borderId="17" xfId="0" applyNumberFormat="1" applyFill="1" applyBorder="1"/>
    <xf numFmtId="3" fontId="0" fillId="16" borderId="51" xfId="0" applyNumberFormat="1" applyFill="1" applyBorder="1"/>
    <xf numFmtId="3" fontId="0" fillId="16" borderId="52" xfId="0" applyNumberFormat="1" applyFill="1" applyBorder="1"/>
    <xf numFmtId="44" fontId="0" fillId="16" borderId="14" xfId="0" applyNumberFormat="1" applyFill="1" applyBorder="1"/>
    <xf numFmtId="44" fontId="0" fillId="16" borderId="15" xfId="0" applyNumberFormat="1" applyFill="1" applyBorder="1"/>
    <xf numFmtId="44" fontId="0" fillId="10" borderId="53" xfId="1" applyFont="1" applyFill="1" applyBorder="1" applyAlignment="1">
      <alignment horizontal="right"/>
    </xf>
    <xf numFmtId="44" fontId="0" fillId="16" borderId="51" xfId="1" applyFont="1" applyFill="1" applyBorder="1"/>
    <xf numFmtId="44" fontId="0" fillId="16" borderId="52" xfId="1" applyFont="1" applyFill="1" applyBorder="1"/>
    <xf numFmtId="44" fontId="0" fillId="10" borderId="58" xfId="0" applyNumberFormat="1" applyFill="1" applyBorder="1"/>
    <xf numFmtId="44" fontId="0" fillId="16" borderId="58" xfId="0" applyNumberFormat="1" applyFill="1" applyBorder="1"/>
    <xf numFmtId="44" fontId="0" fillId="16" borderId="51" xfId="0" applyNumberFormat="1" applyFill="1" applyBorder="1"/>
    <xf numFmtId="44" fontId="0" fillId="16" borderId="52" xfId="0" applyNumberFormat="1" applyFill="1" applyBorder="1"/>
    <xf numFmtId="3" fontId="0" fillId="16" borderId="58" xfId="0" applyNumberFormat="1" applyFill="1" applyBorder="1"/>
    <xf numFmtId="44" fontId="0" fillId="10" borderId="62" xfId="0" applyNumberFormat="1" applyFill="1" applyBorder="1"/>
    <xf numFmtId="44" fontId="0" fillId="10" borderId="17" xfId="0" applyNumberFormat="1" applyFill="1" applyBorder="1"/>
    <xf numFmtId="0" fontId="2" fillId="16" borderId="0" xfId="0" applyFont="1" applyFill="1" applyBorder="1" applyAlignment="1">
      <alignment horizontal="center"/>
    </xf>
    <xf numFmtId="0" fontId="0" fillId="16" borderId="56" xfId="0" applyFill="1" applyBorder="1"/>
    <xf numFmtId="0" fontId="0" fillId="16" borderId="57" xfId="0" applyFill="1" applyBorder="1"/>
    <xf numFmtId="44" fontId="1" fillId="10" borderId="17" xfId="1" applyFont="1" applyFill="1" applyBorder="1" applyAlignment="1">
      <alignment horizontal="center"/>
    </xf>
    <xf numFmtId="0" fontId="2" fillId="16" borderId="56" xfId="0" applyFont="1" applyFill="1" applyBorder="1" applyAlignment="1">
      <alignment horizontal="center"/>
    </xf>
    <xf numFmtId="0" fontId="0" fillId="16" borderId="67" xfId="0" applyFill="1" applyBorder="1"/>
    <xf numFmtId="0" fontId="2" fillId="10" borderId="4" xfId="0" applyFont="1" applyFill="1" applyBorder="1" applyAlignment="1">
      <alignment horizontal="center"/>
    </xf>
    <xf numFmtId="44" fontId="1" fillId="10" borderId="64" xfId="1" applyFont="1" applyFill="1" applyBorder="1" applyAlignment="1">
      <alignment horizontal="center"/>
    </xf>
    <xf numFmtId="44" fontId="0" fillId="10" borderId="63" xfId="1" applyFont="1" applyFill="1" applyBorder="1"/>
    <xf numFmtId="44" fontId="0" fillId="16" borderId="64" xfId="1" applyFont="1" applyFill="1" applyBorder="1"/>
    <xf numFmtId="44" fontId="0" fillId="16" borderId="66" xfId="1" applyFont="1" applyFill="1" applyBorder="1"/>
    <xf numFmtId="3" fontId="0" fillId="10" borderId="53" xfId="0" applyNumberFormat="1" applyFill="1" applyBorder="1"/>
    <xf numFmtId="44" fontId="0" fillId="10" borderId="48" xfId="1" applyFont="1" applyFill="1" applyBorder="1"/>
    <xf numFmtId="44" fontId="0" fillId="10" borderId="16" xfId="1" applyFont="1" applyFill="1" applyBorder="1" applyAlignment="1">
      <alignment horizontal="right"/>
    </xf>
    <xf numFmtId="44" fontId="0" fillId="10" borderId="61" xfId="1" applyFont="1" applyFill="1" applyBorder="1"/>
    <xf numFmtId="44" fontId="0" fillId="10" borderId="53" xfId="0" applyNumberFormat="1" applyFill="1" applyBorder="1"/>
    <xf numFmtId="0" fontId="0" fillId="10" borderId="53" xfId="0" applyFill="1" applyBorder="1"/>
    <xf numFmtId="44" fontId="1" fillId="10" borderId="16" xfId="1" applyFont="1" applyFill="1" applyBorder="1" applyAlignment="1">
      <alignment horizontal="center"/>
    </xf>
    <xf numFmtId="44" fontId="0" fillId="2" borderId="53" xfId="0" applyNumberFormat="1" applyFill="1" applyBorder="1"/>
    <xf numFmtId="44" fontId="0" fillId="4" borderId="53" xfId="0" applyNumberFormat="1" applyFont="1" applyFill="1" applyBorder="1" applyAlignment="1">
      <alignment horizontal="right"/>
    </xf>
    <xf numFmtId="44" fontId="0" fillId="4" borderId="53" xfId="0" applyNumberFormat="1" applyFill="1" applyBorder="1"/>
    <xf numFmtId="0" fontId="0" fillId="2" borderId="58" xfId="0" applyFill="1" applyBorder="1"/>
    <xf numFmtId="0" fontId="2" fillId="0" borderId="61" xfId="0" applyFont="1" applyBorder="1" applyAlignment="1">
      <alignment horizontal="center"/>
    </xf>
    <xf numFmtId="3" fontId="0" fillId="0" borderId="17" xfId="0" applyNumberFormat="1" applyBorder="1"/>
    <xf numFmtId="44" fontId="0" fillId="4" borderId="67" xfId="0" applyNumberFormat="1" applyFill="1" applyBorder="1"/>
    <xf numFmtId="44" fontId="0" fillId="4" borderId="75" xfId="0" applyNumberFormat="1" applyFill="1" applyBorder="1"/>
    <xf numFmtId="44" fontId="0" fillId="10" borderId="34" xfId="0" applyNumberFormat="1" applyFill="1" applyBorder="1"/>
    <xf numFmtId="44" fontId="0" fillId="10" borderId="25" xfId="1" applyFont="1" applyFill="1" applyBorder="1"/>
    <xf numFmtId="44" fontId="0" fillId="2" borderId="61" xfId="0" applyNumberFormat="1" applyFill="1" applyBorder="1"/>
    <xf numFmtId="44" fontId="1" fillId="2" borderId="58" xfId="1" applyFont="1" applyFill="1" applyBorder="1" applyAlignment="1">
      <alignment horizontal="center"/>
    </xf>
    <xf numFmtId="0" fontId="0" fillId="5" borderId="0" xfId="0" applyFill="1"/>
    <xf numFmtId="3" fontId="0" fillId="2" borderId="58" xfId="0" applyNumberFormat="1" applyFont="1" applyFill="1" applyBorder="1" applyAlignment="1">
      <alignment horizontal="right"/>
    </xf>
    <xf numFmtId="0" fontId="2" fillId="3" borderId="15" xfId="0" applyFont="1" applyFill="1" applyBorder="1" applyAlignment="1">
      <alignment horizontal="center"/>
    </xf>
    <xf numFmtId="44" fontId="0" fillId="2" borderId="13" xfId="0" applyNumberFormat="1" applyFill="1" applyBorder="1"/>
    <xf numFmtId="0" fontId="0" fillId="4" borderId="16" xfId="0" applyFont="1" applyFill="1" applyBorder="1" applyAlignment="1">
      <alignment horizontal="right"/>
    </xf>
    <xf numFmtId="44" fontId="0" fillId="2" borderId="54" xfId="0" applyNumberFormat="1" applyFont="1" applyFill="1" applyBorder="1" applyAlignment="1">
      <alignment horizontal="right"/>
    </xf>
    <xf numFmtId="0" fontId="0" fillId="0" borderId="67" xfId="0" applyBorder="1"/>
    <xf numFmtId="44" fontId="0" fillId="4" borderId="48" xfId="1" applyFont="1" applyFill="1" applyBorder="1"/>
    <xf numFmtId="44" fontId="0" fillId="10" borderId="65" xfId="0" applyNumberFormat="1" applyFill="1" applyBorder="1"/>
    <xf numFmtId="0" fontId="2" fillId="10" borderId="65" xfId="0" applyFont="1" applyFill="1" applyBorder="1" applyAlignment="1">
      <alignment horizontal="center"/>
    </xf>
    <xf numFmtId="44" fontId="0" fillId="2" borderId="8" xfId="0" applyNumberFormat="1" applyFill="1" applyBorder="1"/>
    <xf numFmtId="44" fontId="0" fillId="10" borderId="64" xfId="0" applyNumberFormat="1" applyFill="1" applyBorder="1"/>
    <xf numFmtId="0" fontId="2" fillId="3" borderId="19" xfId="0" applyFont="1" applyFill="1" applyBorder="1" applyAlignment="1">
      <alignment horizontal="center"/>
    </xf>
    <xf numFmtId="0" fontId="2" fillId="3" borderId="9" xfId="0" applyFont="1" applyFill="1" applyBorder="1" applyAlignment="1">
      <alignment horizontal="center"/>
    </xf>
    <xf numFmtId="0" fontId="2" fillId="10" borderId="19" xfId="0" applyFont="1" applyFill="1" applyBorder="1" applyAlignment="1">
      <alignment horizontal="center"/>
    </xf>
    <xf numFmtId="44" fontId="0" fillId="10" borderId="19" xfId="0" applyNumberFormat="1" applyFill="1" applyBorder="1"/>
    <xf numFmtId="44" fontId="0" fillId="3" borderId="19" xfId="0" applyNumberFormat="1" applyFill="1" applyBorder="1"/>
    <xf numFmtId="44" fontId="0" fillId="3" borderId="20" xfId="0" applyNumberFormat="1" applyFill="1" applyBorder="1"/>
    <xf numFmtId="0" fontId="1" fillId="0" borderId="0" xfId="0" applyFont="1" applyFill="1"/>
    <xf numFmtId="165" fontId="2" fillId="0" borderId="17" xfId="0" applyNumberFormat="1" applyFont="1" applyFill="1" applyBorder="1" applyAlignment="1">
      <alignment horizontal="center"/>
    </xf>
    <xf numFmtId="10" fontId="4" fillId="6" borderId="37" xfId="0" applyNumberFormat="1" applyFont="1" applyFill="1" applyBorder="1"/>
    <xf numFmtId="0" fontId="2" fillId="0" borderId="18" xfId="0" applyFont="1" applyBorder="1" applyAlignment="1">
      <alignment horizontal="center"/>
    </xf>
    <xf numFmtId="10" fontId="4" fillId="6" borderId="65" xfId="0" applyNumberFormat="1" applyFont="1" applyFill="1" applyBorder="1"/>
    <xf numFmtId="165" fontId="0" fillId="0" borderId="65" xfId="0" applyNumberFormat="1" applyFont="1" applyFill="1" applyBorder="1" applyAlignment="1">
      <alignment horizontal="center"/>
    </xf>
    <xf numFmtId="0" fontId="2" fillId="0" borderId="61" xfId="0" applyFont="1" applyBorder="1" applyAlignment="1">
      <alignment horizontal="center" vertical="center"/>
    </xf>
    <xf numFmtId="0" fontId="2" fillId="0" borderId="16" xfId="0" applyFont="1" applyFill="1" applyBorder="1" applyAlignment="1">
      <alignment horizontal="center"/>
    </xf>
    <xf numFmtId="44" fontId="0" fillId="0" borderId="77" xfId="1" applyFont="1" applyFill="1" applyBorder="1"/>
    <xf numFmtId="0" fontId="2" fillId="0" borderId="75" xfId="0" applyFont="1" applyFill="1" applyBorder="1" applyAlignment="1">
      <alignment horizontal="center"/>
    </xf>
    <xf numFmtId="44" fontId="0" fillId="0" borderId="51" xfId="1" applyFont="1" applyFill="1" applyBorder="1"/>
    <xf numFmtId="44" fontId="0" fillId="0" borderId="61" xfId="1" applyFont="1" applyFill="1" applyBorder="1"/>
    <xf numFmtId="0" fontId="2" fillId="0" borderId="24" xfId="0" applyFont="1" applyFill="1" applyBorder="1" applyAlignment="1">
      <alignment horizontal="center"/>
    </xf>
    <xf numFmtId="44" fontId="0" fillId="0" borderId="64" xfId="1" applyFont="1" applyFill="1" applyBorder="1"/>
    <xf numFmtId="0" fontId="2" fillId="0" borderId="17" xfId="0" applyFont="1" applyFill="1" applyBorder="1" applyAlignment="1">
      <alignment horizontal="center"/>
    </xf>
    <xf numFmtId="44" fontId="0" fillId="0" borderId="51" xfId="0" applyNumberFormat="1" applyFill="1" applyBorder="1"/>
    <xf numFmtId="0" fontId="2" fillId="3" borderId="61" xfId="0" applyFont="1" applyFill="1" applyBorder="1" applyAlignment="1">
      <alignment horizontal="center"/>
    </xf>
    <xf numFmtId="44" fontId="0" fillId="0" borderId="52" xfId="0" applyNumberFormat="1" applyFill="1" applyBorder="1"/>
    <xf numFmtId="0" fontId="2" fillId="3" borderId="83" xfId="0" applyFont="1" applyFill="1" applyBorder="1" applyAlignment="1">
      <alignment horizontal="center"/>
    </xf>
    <xf numFmtId="44" fontId="0" fillId="0" borderId="64" xfId="0" applyNumberFormat="1" applyFill="1" applyBorder="1"/>
    <xf numFmtId="44" fontId="0" fillId="0" borderId="66" xfId="0" applyNumberFormat="1" applyFill="1" applyBorder="1"/>
    <xf numFmtId="0" fontId="2" fillId="3" borderId="17" xfId="0" applyFont="1" applyFill="1" applyBorder="1" applyAlignment="1">
      <alignment horizontal="center"/>
    </xf>
    <xf numFmtId="44" fontId="0" fillId="10" borderId="67" xfId="0" applyNumberFormat="1" applyFill="1" applyBorder="1"/>
    <xf numFmtId="44" fontId="0" fillId="10" borderId="57" xfId="0" applyNumberFormat="1" applyFill="1" applyBorder="1"/>
    <xf numFmtId="44" fontId="0" fillId="10" borderId="81" xfId="0" applyNumberFormat="1" applyFill="1" applyBorder="1"/>
    <xf numFmtId="44" fontId="0" fillId="10" borderId="20" xfId="0" applyNumberFormat="1" applyFill="1" applyBorder="1"/>
    <xf numFmtId="0" fontId="2" fillId="3" borderId="75" xfId="0" applyFont="1" applyFill="1" applyBorder="1" applyAlignment="1">
      <alignment horizontal="center"/>
    </xf>
    <xf numFmtId="44" fontId="0" fillId="0" borderId="56" xfId="0" applyNumberFormat="1" applyFill="1" applyBorder="1"/>
    <xf numFmtId="10" fontId="4" fillId="10" borderId="38" xfId="0" applyNumberFormat="1" applyFont="1" applyFill="1" applyBorder="1"/>
    <xf numFmtId="10" fontId="4" fillId="10" borderId="36" xfId="2" applyNumberFormat="1" applyFont="1" applyFill="1" applyBorder="1"/>
    <xf numFmtId="0" fontId="2" fillId="13" borderId="17" xfId="0" applyFont="1" applyFill="1" applyBorder="1" applyAlignment="1">
      <alignment horizontal="center"/>
    </xf>
    <xf numFmtId="0" fontId="2" fillId="0" borderId="48" xfId="0" applyFont="1" applyBorder="1" applyAlignment="1">
      <alignment horizontal="center"/>
    </xf>
    <xf numFmtId="0" fontId="2" fillId="4" borderId="48" xfId="0" applyFont="1" applyFill="1" applyBorder="1" applyAlignment="1">
      <alignment horizontal="center"/>
    </xf>
    <xf numFmtId="0" fontId="2" fillId="2" borderId="48" xfId="0" applyFont="1" applyFill="1" applyBorder="1" applyAlignment="1">
      <alignment horizontal="center"/>
    </xf>
    <xf numFmtId="0" fontId="2" fillId="13" borderId="48" xfId="0" applyFont="1" applyFill="1" applyBorder="1" applyAlignment="1">
      <alignment horizontal="center"/>
    </xf>
    <xf numFmtId="0" fontId="2" fillId="8" borderId="34" xfId="0" applyFont="1" applyFill="1" applyBorder="1" applyAlignment="1">
      <alignment horizontal="center"/>
    </xf>
    <xf numFmtId="0" fontId="0" fillId="0" borderId="28" xfId="0" applyBorder="1"/>
    <xf numFmtId="0" fontId="2" fillId="7" borderId="34" xfId="0" applyFont="1" applyFill="1" applyBorder="1" applyAlignment="1">
      <alignment horizontal="center"/>
    </xf>
    <xf numFmtId="165" fontId="2" fillId="3" borderId="48" xfId="0" applyNumberFormat="1" applyFont="1" applyFill="1" applyBorder="1" applyAlignment="1">
      <alignment horizontal="center"/>
    </xf>
    <xf numFmtId="165" fontId="0" fillId="3" borderId="58" xfId="0" applyNumberFormat="1" applyFill="1" applyBorder="1"/>
    <xf numFmtId="0" fontId="2" fillId="14" borderId="8" xfId="0" applyFont="1" applyFill="1" applyBorder="1" applyAlignment="1">
      <alignment horizontal="center"/>
    </xf>
    <xf numFmtId="165" fontId="0" fillId="0" borderId="9" xfId="1" applyNumberFormat="1" applyFont="1" applyFill="1" applyBorder="1"/>
    <xf numFmtId="3" fontId="0" fillId="3" borderId="15" xfId="0" applyNumberFormat="1" applyFill="1" applyBorder="1"/>
    <xf numFmtId="165" fontId="0" fillId="0" borderId="13" xfId="1" applyNumberFormat="1" applyFont="1" applyFill="1" applyBorder="1"/>
    <xf numFmtId="0" fontId="0" fillId="0" borderId="17" xfId="0" applyFill="1" applyBorder="1"/>
    <xf numFmtId="0" fontId="2" fillId="0" borderId="56" xfId="0" applyFont="1" applyBorder="1" applyAlignment="1">
      <alignment horizontal="center" vertical="center"/>
    </xf>
    <xf numFmtId="0" fontId="5" fillId="0" borderId="56" xfId="0" applyFont="1" applyFill="1" applyBorder="1" applyAlignment="1">
      <alignment vertical="center"/>
    </xf>
    <xf numFmtId="0" fontId="2" fillId="0" borderId="67" xfId="0" applyFont="1" applyBorder="1" applyAlignment="1">
      <alignment horizontal="center" vertical="center"/>
    </xf>
    <xf numFmtId="0" fontId="2" fillId="0" borderId="45" xfId="0" applyFont="1" applyFill="1" applyBorder="1" applyAlignment="1">
      <alignment horizontal="center"/>
    </xf>
    <xf numFmtId="0" fontId="2" fillId="3" borderId="68" xfId="0" applyFont="1" applyFill="1" applyBorder="1" applyAlignment="1">
      <alignment horizontal="center"/>
    </xf>
    <xf numFmtId="0" fontId="2" fillId="0" borderId="34" xfId="0" applyFont="1" applyBorder="1" applyAlignment="1">
      <alignment horizontal="center" vertical="center"/>
    </xf>
    <xf numFmtId="0" fontId="2" fillId="0" borderId="35" xfId="0" applyFont="1" applyFill="1" applyBorder="1" applyAlignment="1">
      <alignment horizontal="center"/>
    </xf>
    <xf numFmtId="0" fontId="2" fillId="0" borderId="36" xfId="0" applyFont="1" applyFill="1" applyBorder="1" applyAlignment="1">
      <alignment horizontal="center"/>
    </xf>
    <xf numFmtId="165" fontId="2" fillId="8" borderId="35" xfId="0" applyNumberFormat="1" applyFont="1" applyFill="1" applyBorder="1" applyAlignment="1">
      <alignment horizontal="center"/>
    </xf>
    <xf numFmtId="0" fontId="2" fillId="8" borderId="36" xfId="0" applyFont="1" applyFill="1" applyBorder="1" applyAlignment="1">
      <alignment horizontal="center"/>
    </xf>
    <xf numFmtId="0" fontId="2" fillId="4" borderId="34" xfId="0" applyFont="1" applyFill="1" applyBorder="1" applyAlignment="1">
      <alignment horizontal="center"/>
    </xf>
    <xf numFmtId="0" fontId="2" fillId="0" borderId="50" xfId="0" applyFont="1" applyFill="1" applyBorder="1" applyAlignment="1">
      <alignment horizontal="center"/>
    </xf>
    <xf numFmtId="165" fontId="2" fillId="8" borderId="36" xfId="0" applyNumberFormat="1" applyFont="1" applyFill="1" applyBorder="1" applyAlignment="1">
      <alignment horizontal="center"/>
    </xf>
    <xf numFmtId="10" fontId="4" fillId="6" borderId="25" xfId="0" applyNumberFormat="1" applyFont="1" applyFill="1" applyBorder="1"/>
    <xf numFmtId="0" fontId="2" fillId="0" borderId="43" xfId="0" applyFont="1" applyFill="1" applyBorder="1" applyAlignment="1">
      <alignment horizontal="center"/>
    </xf>
    <xf numFmtId="10" fontId="4" fillId="10" borderId="43" xfId="2" applyNumberFormat="1" applyFont="1" applyFill="1" applyBorder="1"/>
    <xf numFmtId="10" fontId="4" fillId="10" borderId="44" xfId="2" applyNumberFormat="1" applyFont="1" applyFill="1" applyBorder="1"/>
    <xf numFmtId="10" fontId="4" fillId="10" borderId="51" xfId="0" applyNumberFormat="1" applyFont="1" applyFill="1" applyBorder="1"/>
    <xf numFmtId="10" fontId="4" fillId="10" borderId="52" xfId="0" applyNumberFormat="1" applyFont="1" applyFill="1" applyBorder="1"/>
    <xf numFmtId="3" fontId="0" fillId="4" borderId="0" xfId="0" applyNumberFormat="1" applyFont="1" applyFill="1" applyBorder="1" applyAlignment="1">
      <alignment horizontal="right"/>
    </xf>
    <xf numFmtId="0" fontId="2" fillId="0" borderId="56" xfId="0" applyFont="1" applyFill="1" applyBorder="1" applyAlignment="1">
      <alignment horizontal="center"/>
    </xf>
    <xf numFmtId="44" fontId="0" fillId="0" borderId="56" xfId="1" applyFont="1" applyFill="1" applyBorder="1"/>
    <xf numFmtId="44" fontId="0" fillId="0" borderId="57" xfId="1" applyFont="1" applyFill="1" applyBorder="1"/>
    <xf numFmtId="0" fontId="2" fillId="3" borderId="0" xfId="0" applyFont="1" applyFill="1" applyBorder="1" applyAlignment="1">
      <alignment horizontal="center"/>
    </xf>
    <xf numFmtId="0" fontId="2" fillId="3" borderId="56" xfId="0" applyFont="1" applyFill="1" applyBorder="1" applyAlignment="1">
      <alignment horizontal="center"/>
    </xf>
    <xf numFmtId="44" fontId="0" fillId="0" borderId="57" xfId="0" applyNumberFormat="1" applyFill="1" applyBorder="1"/>
    <xf numFmtId="165" fontId="0" fillId="0" borderId="56" xfId="1" applyNumberFormat="1" applyFont="1" applyFill="1" applyBorder="1"/>
    <xf numFmtId="165" fontId="0" fillId="0" borderId="30" xfId="1" applyNumberFormat="1" applyFont="1" applyFill="1" applyBorder="1"/>
    <xf numFmtId="10" fontId="4" fillId="6" borderId="17" xfId="0" applyNumberFormat="1" applyFont="1" applyFill="1" applyBorder="1"/>
    <xf numFmtId="10" fontId="4" fillId="6" borderId="18" xfId="0" applyNumberFormat="1" applyFont="1" applyFill="1" applyBorder="1"/>
    <xf numFmtId="165" fontId="0" fillId="0" borderId="30" xfId="0" applyNumberFormat="1" applyBorder="1"/>
    <xf numFmtId="165" fontId="2" fillId="0" borderId="56" xfId="0" applyNumberFormat="1" applyFont="1" applyFill="1" applyBorder="1" applyAlignment="1">
      <alignment horizontal="center"/>
    </xf>
    <xf numFmtId="165" fontId="0" fillId="0" borderId="56" xfId="0" applyNumberFormat="1" applyFont="1" applyFill="1" applyBorder="1" applyAlignment="1">
      <alignment horizontal="center"/>
    </xf>
    <xf numFmtId="0" fontId="0" fillId="0" borderId="37" xfId="0" applyBorder="1"/>
    <xf numFmtId="165" fontId="2" fillId="7" borderId="34" xfId="0" applyNumberFormat="1" applyFont="1" applyFill="1" applyBorder="1" applyAlignment="1">
      <alignment horizontal="center"/>
    </xf>
    <xf numFmtId="44" fontId="0" fillId="10" borderId="57" xfId="1" applyFont="1" applyFill="1" applyBorder="1"/>
    <xf numFmtId="44" fontId="0" fillId="10" borderId="18" xfId="0" applyNumberFormat="1" applyFill="1" applyBorder="1"/>
    <xf numFmtId="165" fontId="2" fillId="8" borderId="38" xfId="0" applyNumberFormat="1" applyFont="1" applyFill="1" applyBorder="1" applyAlignment="1">
      <alignment horizontal="center"/>
    </xf>
    <xf numFmtId="165" fontId="2" fillId="8" borderId="50" xfId="0" applyNumberFormat="1" applyFont="1" applyFill="1" applyBorder="1" applyAlignment="1">
      <alignment horizontal="center"/>
    </xf>
    <xf numFmtId="165" fontId="2" fillId="0" borderId="54" xfId="0" applyNumberFormat="1" applyFont="1" applyFill="1" applyBorder="1" applyAlignment="1">
      <alignment horizontal="center"/>
    </xf>
    <xf numFmtId="0" fontId="2" fillId="0" borderId="55" xfId="0" applyFont="1" applyFill="1" applyBorder="1" applyAlignment="1">
      <alignment horizontal="center"/>
    </xf>
    <xf numFmtId="44" fontId="0" fillId="0" borderId="67" xfId="0" applyNumberFormat="1" applyFill="1" applyBorder="1"/>
    <xf numFmtId="44" fontId="0" fillId="0" borderId="52" xfId="1" applyFont="1" applyFill="1" applyBorder="1"/>
    <xf numFmtId="3" fontId="0" fillId="0" borderId="56" xfId="0" applyNumberFormat="1" applyFill="1" applyBorder="1"/>
    <xf numFmtId="3" fontId="0" fillId="0" borderId="57" xfId="0" applyNumberFormat="1" applyFill="1" applyBorder="1"/>
    <xf numFmtId="3" fontId="0" fillId="4" borderId="51" xfId="0" applyNumberFormat="1" applyFont="1" applyFill="1" applyBorder="1" applyAlignment="1"/>
    <xf numFmtId="3" fontId="0" fillId="4" borderId="51" xfId="0" applyNumberFormat="1" applyFill="1" applyBorder="1" applyAlignment="1">
      <alignment horizontal="right"/>
    </xf>
    <xf numFmtId="0" fontId="0" fillId="12" borderId="18" xfId="0" applyFill="1" applyBorder="1" applyAlignment="1">
      <alignment horizontal="center"/>
    </xf>
    <xf numFmtId="0" fontId="2" fillId="0" borderId="47" xfId="0" applyFont="1" applyBorder="1" applyAlignment="1">
      <alignment horizontal="center" vertical="center"/>
    </xf>
    <xf numFmtId="0" fontId="2" fillId="4" borderId="37" xfId="0" applyFont="1" applyFill="1" applyBorder="1" applyAlignment="1">
      <alignment horizontal="center"/>
    </xf>
    <xf numFmtId="0" fontId="2" fillId="0" borderId="37" xfId="0" applyFont="1" applyFill="1" applyBorder="1" applyAlignment="1">
      <alignment horizontal="center"/>
    </xf>
    <xf numFmtId="0" fontId="2" fillId="0" borderId="38" xfId="0" applyFont="1" applyFill="1" applyBorder="1" applyAlignment="1">
      <alignment horizontal="center"/>
    </xf>
    <xf numFmtId="0" fontId="2" fillId="3" borderId="37" xfId="0" applyFont="1" applyFill="1" applyBorder="1" applyAlignment="1">
      <alignment horizontal="center"/>
    </xf>
    <xf numFmtId="0" fontId="2" fillId="3" borderId="48" xfId="0" applyFont="1" applyFill="1" applyBorder="1" applyAlignment="1">
      <alignment horizontal="center"/>
    </xf>
    <xf numFmtId="0" fontId="2" fillId="10" borderId="8" xfId="0" applyFont="1" applyFill="1" applyBorder="1" applyAlignment="1">
      <alignment horizontal="center" vertical="center"/>
    </xf>
    <xf numFmtId="0" fontId="2" fillId="0" borderId="48" xfId="0" applyFont="1" applyBorder="1" applyAlignment="1">
      <alignment horizontal="center" vertical="center"/>
    </xf>
    <xf numFmtId="0" fontId="0" fillId="4" borderId="5" xfId="0" applyFont="1" applyFill="1" applyBorder="1" applyAlignment="1">
      <alignment horizontal="center"/>
    </xf>
    <xf numFmtId="0" fontId="2" fillId="3" borderId="38" xfId="0" applyFont="1" applyFill="1" applyBorder="1" applyAlignment="1">
      <alignment horizontal="center"/>
    </xf>
    <xf numFmtId="0" fontId="2" fillId="0" borderId="34" xfId="0" applyFont="1" applyBorder="1" applyAlignment="1">
      <alignment horizontal="center"/>
    </xf>
    <xf numFmtId="0" fontId="2" fillId="7" borderId="37" xfId="0" applyFont="1" applyFill="1" applyBorder="1" applyAlignment="1">
      <alignment horizontal="center"/>
    </xf>
    <xf numFmtId="165" fontId="0" fillId="3" borderId="63" xfId="0" applyNumberFormat="1" applyFont="1" applyFill="1" applyBorder="1" applyAlignment="1">
      <alignment horizontal="center"/>
    </xf>
    <xf numFmtId="165" fontId="0" fillId="0" borderId="63" xfId="0" applyNumberFormat="1" applyBorder="1"/>
    <xf numFmtId="10" fontId="4" fillId="6" borderId="18" xfId="2" applyNumberFormat="1" applyFont="1" applyFill="1" applyBorder="1"/>
    <xf numFmtId="0" fontId="2" fillId="3" borderId="34" xfId="0" applyFont="1" applyFill="1" applyBorder="1" applyAlignment="1">
      <alignment horizontal="center"/>
    </xf>
    <xf numFmtId="0" fontId="2" fillId="0" borderId="37" xfId="0" applyFont="1" applyBorder="1" applyAlignment="1">
      <alignment horizontal="center"/>
    </xf>
    <xf numFmtId="44" fontId="0" fillId="3" borderId="60" xfId="0" applyNumberFormat="1" applyFill="1" applyBorder="1"/>
    <xf numFmtId="44" fontId="0" fillId="3" borderId="75" xfId="0" applyNumberFormat="1" applyFill="1" applyBorder="1"/>
    <xf numFmtId="44" fontId="0" fillId="3" borderId="61" xfId="0" applyNumberFormat="1" applyFill="1" applyBorder="1"/>
    <xf numFmtId="44" fontId="0" fillId="0" borderId="17" xfId="0" applyNumberFormat="1" applyFill="1" applyBorder="1"/>
    <xf numFmtId="3" fontId="0" fillId="0" borderId="75" xfId="0" applyNumberFormat="1" applyFill="1" applyBorder="1"/>
    <xf numFmtId="1" fontId="3" fillId="0" borderId="56" xfId="0" applyNumberFormat="1" applyFont="1" applyFill="1" applyBorder="1" applyAlignment="1">
      <alignment vertical="center"/>
    </xf>
    <xf numFmtId="1" fontId="3" fillId="0" borderId="57" xfId="0" applyNumberFormat="1" applyFont="1" applyFill="1" applyBorder="1" applyAlignment="1">
      <alignment vertical="center"/>
    </xf>
    <xf numFmtId="44" fontId="0" fillId="0" borderId="75" xfId="0" applyNumberFormat="1" applyFill="1" applyBorder="1"/>
    <xf numFmtId="0" fontId="0" fillId="0" borderId="58" xfId="0" applyFont="1" applyBorder="1" applyAlignment="1">
      <alignment horizontal="right" vertical="center"/>
    </xf>
    <xf numFmtId="0" fontId="2" fillId="3" borderId="63" xfId="0" applyFont="1" applyFill="1" applyBorder="1" applyAlignment="1">
      <alignment horizontal="center"/>
    </xf>
    <xf numFmtId="0" fontId="2" fillId="0" borderId="64" xfId="0" applyFont="1" applyFill="1" applyBorder="1" applyAlignment="1">
      <alignment horizontal="center"/>
    </xf>
    <xf numFmtId="44" fontId="0" fillId="0" borderId="63" xfId="0" applyNumberFormat="1" applyFill="1" applyBorder="1"/>
    <xf numFmtId="10" fontId="4" fillId="6" borderId="0" xfId="0" applyNumberFormat="1" applyFont="1" applyFill="1" applyBorder="1"/>
    <xf numFmtId="10" fontId="4" fillId="6" borderId="26" xfId="0" applyNumberFormat="1" applyFont="1" applyFill="1" applyBorder="1"/>
    <xf numFmtId="165" fontId="0" fillId="0" borderId="57" xfId="1" applyNumberFormat="1" applyFont="1" applyFill="1" applyBorder="1"/>
    <xf numFmtId="0" fontId="9" fillId="10" borderId="14" xfId="0" applyFont="1" applyFill="1" applyBorder="1"/>
    <xf numFmtId="0" fontId="14" fillId="0" borderId="0" xfId="4"/>
    <xf numFmtId="0" fontId="0" fillId="0" borderId="3" xfId="0" applyBorder="1"/>
    <xf numFmtId="44" fontId="0" fillId="0" borderId="37" xfId="1" applyFont="1" applyBorder="1"/>
    <xf numFmtId="44" fontId="0" fillId="0" borderId="2" xfId="1" applyFont="1" applyFill="1" applyBorder="1"/>
    <xf numFmtId="44" fontId="2" fillId="0" borderId="40" xfId="1" applyFont="1" applyBorder="1"/>
    <xf numFmtId="0" fontId="2" fillId="16" borderId="16" xfId="0" applyFont="1" applyFill="1" applyBorder="1" applyAlignment="1">
      <alignment horizontal="center"/>
    </xf>
    <xf numFmtId="0" fontId="4" fillId="0" borderId="0" xfId="0" applyFont="1" applyFill="1"/>
    <xf numFmtId="0" fontId="4" fillId="10" borderId="32" xfId="0" applyFont="1" applyFill="1" applyBorder="1" applyAlignment="1">
      <alignment horizontal="center"/>
    </xf>
    <xf numFmtId="0" fontId="4" fillId="10" borderId="93" xfId="0" applyFont="1" applyFill="1" applyBorder="1" applyAlignment="1">
      <alignment horizontal="center"/>
    </xf>
    <xf numFmtId="0" fontId="4" fillId="10" borderId="68" xfId="0" applyFont="1" applyFill="1" applyBorder="1" applyAlignment="1">
      <alignment horizontal="center"/>
    </xf>
    <xf numFmtId="0" fontId="4" fillId="10" borderId="79" xfId="0" applyFont="1" applyFill="1" applyBorder="1" applyAlignment="1">
      <alignment horizontal="center"/>
    </xf>
    <xf numFmtId="44" fontId="0" fillId="0" borderId="0" xfId="1" applyFont="1"/>
    <xf numFmtId="44" fontId="0" fillId="0" borderId="48" xfId="1" applyFont="1" applyBorder="1"/>
    <xf numFmtId="44" fontId="2" fillId="0" borderId="34" xfId="1" applyFont="1" applyBorder="1"/>
    <xf numFmtId="44" fontId="0" fillId="2" borderId="53" xfId="0" applyNumberFormat="1" applyFont="1" applyFill="1" applyBorder="1" applyAlignment="1">
      <alignment horizontal="right"/>
    </xf>
    <xf numFmtId="165" fontId="0" fillId="0" borderId="45" xfId="1" applyNumberFormat="1" applyFont="1" applyBorder="1"/>
    <xf numFmtId="165" fontId="0" fillId="0" borderId="14" xfId="1" applyNumberFormat="1" applyFont="1" applyBorder="1"/>
    <xf numFmtId="165" fontId="0" fillId="0" borderId="62" xfId="1" applyNumberFormat="1" applyFont="1" applyBorder="1"/>
    <xf numFmtId="165" fontId="0" fillId="0" borderId="15" xfId="1" applyNumberFormat="1" applyFont="1" applyBorder="1"/>
    <xf numFmtId="165" fontId="0" fillId="16" borderId="48" xfId="0" applyNumberFormat="1" applyFill="1" applyBorder="1"/>
    <xf numFmtId="165" fontId="0" fillId="0" borderId="52" xfId="0" applyNumberFormat="1" applyFill="1" applyBorder="1"/>
    <xf numFmtId="165" fontId="2" fillId="7" borderId="21" xfId="0" applyNumberFormat="1" applyFont="1" applyFill="1" applyBorder="1" applyAlignment="1">
      <alignment horizontal="center"/>
    </xf>
    <xf numFmtId="0" fontId="2" fillId="7" borderId="27" xfId="0" applyFont="1" applyFill="1" applyBorder="1" applyAlignment="1">
      <alignment horizontal="center"/>
    </xf>
    <xf numFmtId="165" fontId="2" fillId="8" borderId="41" xfId="0" applyNumberFormat="1" applyFont="1" applyFill="1" applyBorder="1" applyAlignment="1">
      <alignment horizontal="center"/>
    </xf>
    <xf numFmtId="0" fontId="2" fillId="8" borderId="7" xfId="0" applyFont="1" applyFill="1" applyBorder="1" applyAlignment="1">
      <alignment horizontal="center"/>
    </xf>
    <xf numFmtId="44" fontId="0" fillId="2" borderId="18" xfId="0" applyNumberFormat="1" applyFill="1" applyBorder="1"/>
    <xf numFmtId="0" fontId="2" fillId="2" borderId="8" xfId="0" applyFont="1" applyFill="1" applyBorder="1" applyAlignment="1">
      <alignment horizontal="center"/>
    </xf>
    <xf numFmtId="0" fontId="2" fillId="2" borderId="64" xfId="0" applyFont="1" applyFill="1" applyBorder="1" applyAlignment="1">
      <alignment horizontal="center"/>
    </xf>
    <xf numFmtId="44" fontId="1" fillId="2" borderId="64" xfId="1" applyFont="1" applyFill="1" applyBorder="1" applyAlignment="1">
      <alignment horizontal="center"/>
    </xf>
    <xf numFmtId="44" fontId="0" fillId="2" borderId="63" xfId="1" applyFont="1" applyFill="1" applyBorder="1"/>
    <xf numFmtId="44" fontId="0" fillId="2" borderId="64" xfId="1" applyFont="1" applyFill="1" applyBorder="1"/>
    <xf numFmtId="0" fontId="2" fillId="2" borderId="67" xfId="0" applyFont="1" applyFill="1" applyBorder="1" applyAlignment="1">
      <alignment horizontal="center"/>
    </xf>
    <xf numFmtId="0" fontId="2" fillId="2" borderId="50" xfId="0" applyFont="1" applyFill="1" applyBorder="1" applyAlignment="1">
      <alignment horizontal="center"/>
    </xf>
    <xf numFmtId="165" fontId="0" fillId="0" borderId="18" xfId="0" applyNumberFormat="1" applyFont="1" applyFill="1" applyBorder="1" applyAlignment="1">
      <alignment horizontal="center"/>
    </xf>
    <xf numFmtId="0" fontId="2" fillId="3" borderId="93" xfId="0" applyFont="1" applyFill="1" applyBorder="1" applyAlignment="1">
      <alignment horizontal="center"/>
    </xf>
    <xf numFmtId="0" fontId="2" fillId="3" borderId="79" xfId="0" applyFont="1" applyFill="1" applyBorder="1" applyAlignment="1">
      <alignment horizontal="center"/>
    </xf>
    <xf numFmtId="44" fontId="0" fillId="4" borderId="53" xfId="1" applyFont="1" applyFill="1" applyBorder="1"/>
    <xf numFmtId="0" fontId="2" fillId="0" borderId="49" xfId="0" applyFont="1" applyFill="1" applyBorder="1" applyAlignment="1">
      <alignment horizontal="center"/>
    </xf>
    <xf numFmtId="0" fontId="2" fillId="0" borderId="6" xfId="0" applyFont="1" applyFill="1" applyBorder="1" applyAlignment="1">
      <alignment horizontal="center"/>
    </xf>
    <xf numFmtId="0" fontId="2" fillId="0" borderId="27" xfId="0" applyFont="1" applyFill="1" applyBorder="1" applyAlignment="1">
      <alignment horizontal="center"/>
    </xf>
    <xf numFmtId="165" fontId="0" fillId="0" borderId="51" xfId="0" applyNumberFormat="1" applyFill="1" applyBorder="1"/>
    <xf numFmtId="10" fontId="4" fillId="6" borderId="57" xfId="0" applyNumberFormat="1" applyFont="1" applyFill="1" applyBorder="1"/>
    <xf numFmtId="165" fontId="2" fillId="0" borderId="58" xfId="0" applyNumberFormat="1" applyFont="1" applyFill="1" applyBorder="1" applyAlignment="1">
      <alignment horizontal="center"/>
    </xf>
    <xf numFmtId="0" fontId="0" fillId="11" borderId="56" xfId="0" applyFill="1" applyBorder="1"/>
    <xf numFmtId="0" fontId="0" fillId="0" borderId="56" xfId="0" applyFill="1" applyBorder="1"/>
    <xf numFmtId="165" fontId="0" fillId="0" borderId="81" xfId="0" applyNumberFormat="1" applyFont="1" applyFill="1" applyBorder="1" applyAlignment="1">
      <alignment horizontal="center" vertical="center"/>
    </xf>
    <xf numFmtId="165" fontId="1" fillId="0" borderId="67" xfId="1" applyNumberFormat="1" applyFont="1" applyFill="1" applyBorder="1" applyAlignment="1">
      <alignment horizontal="center" vertical="center"/>
    </xf>
    <xf numFmtId="165" fontId="0" fillId="0" borderId="46" xfId="0" applyNumberFormat="1" applyFont="1" applyBorder="1"/>
    <xf numFmtId="165" fontId="0" fillId="0" borderId="1" xfId="0" applyNumberFormat="1" applyFont="1" applyFill="1" applyBorder="1" applyAlignment="1">
      <alignment horizontal="center" vertical="center" wrapText="1"/>
    </xf>
    <xf numFmtId="0" fontId="9" fillId="10" borderId="31" xfId="0" applyFont="1" applyFill="1" applyBorder="1" applyAlignment="1">
      <alignment horizontal="center"/>
    </xf>
    <xf numFmtId="0" fontId="9" fillId="10" borderId="23" xfId="0" applyFont="1" applyFill="1" applyBorder="1" applyAlignment="1">
      <alignment horizontal="center"/>
    </xf>
    <xf numFmtId="0" fontId="2" fillId="0" borderId="19" xfId="0" applyFont="1" applyBorder="1" applyAlignment="1">
      <alignment horizontal="center"/>
    </xf>
    <xf numFmtId="165" fontId="1" fillId="3" borderId="1" xfId="1" applyNumberFormat="1" applyFont="1" applyFill="1" applyBorder="1" applyAlignment="1">
      <alignment horizontal="center"/>
    </xf>
    <xf numFmtId="10" fontId="2" fillId="0" borderId="0" xfId="0" applyNumberFormat="1" applyFont="1" applyFill="1" applyBorder="1" applyAlignment="1">
      <alignment horizontal="center" wrapText="1"/>
    </xf>
    <xf numFmtId="9" fontId="0" fillId="0" borderId="0" xfId="2" applyFont="1" applyAlignment="1">
      <alignment horizontal="center"/>
    </xf>
    <xf numFmtId="10" fontId="1" fillId="11" borderId="98" xfId="2" applyNumberFormat="1" applyFont="1" applyFill="1" applyBorder="1" applyAlignment="1">
      <alignment horizontal="center"/>
    </xf>
    <xf numFmtId="10" fontId="2" fillId="11" borderId="99" xfId="2" applyNumberFormat="1" applyFont="1" applyFill="1" applyBorder="1" applyAlignment="1">
      <alignment horizontal="center"/>
    </xf>
    <xf numFmtId="9" fontId="0" fillId="0" borderId="1" xfId="2" applyFont="1" applyBorder="1" applyAlignment="1">
      <alignment horizontal="center"/>
    </xf>
    <xf numFmtId="10" fontId="2" fillId="0" borderId="1" xfId="0" applyNumberFormat="1" applyFont="1" applyFill="1" applyBorder="1" applyAlignment="1">
      <alignment horizontal="center" wrapText="1"/>
    </xf>
    <xf numFmtId="165" fontId="0" fillId="0" borderId="1" xfId="0" applyNumberFormat="1" applyFont="1" applyBorder="1"/>
    <xf numFmtId="165" fontId="0" fillId="0" borderId="25" xfId="0" applyNumberFormat="1" applyFont="1" applyBorder="1"/>
    <xf numFmtId="164" fontId="9" fillId="11" borderId="30" xfId="0" applyNumberFormat="1" applyFont="1" applyFill="1" applyBorder="1"/>
    <xf numFmtId="165" fontId="2" fillId="0" borderId="0" xfId="0" applyNumberFormat="1" applyFont="1" applyFill="1" applyBorder="1" applyAlignment="1">
      <alignment horizontal="center" vertical="center" wrapText="1"/>
    </xf>
    <xf numFmtId="165" fontId="2" fillId="0" borderId="0" xfId="0" applyNumberFormat="1" applyFont="1" applyFill="1" applyBorder="1"/>
    <xf numFmtId="165" fontId="1" fillId="0" borderId="0" xfId="1" applyNumberFormat="1" applyFont="1" applyFill="1" applyBorder="1"/>
    <xf numFmtId="164" fontId="0" fillId="0" borderId="0" xfId="1" applyNumberFormat="1" applyFont="1" applyFill="1" applyBorder="1"/>
    <xf numFmtId="0" fontId="0" fillId="0" borderId="1" xfId="0" applyBorder="1" applyAlignment="1">
      <alignment horizontal="center"/>
    </xf>
    <xf numFmtId="165" fontId="0" fillId="0" borderId="33" xfId="0" applyNumberFormat="1" applyFont="1" applyBorder="1"/>
    <xf numFmtId="10" fontId="4" fillId="10" borderId="30" xfId="0" applyNumberFormat="1" applyFont="1" applyFill="1" applyBorder="1" applyAlignment="1">
      <alignment horizontal="center"/>
    </xf>
    <xf numFmtId="10" fontId="2" fillId="11" borderId="100" xfId="2" applyNumberFormat="1" applyFont="1" applyFill="1" applyBorder="1"/>
    <xf numFmtId="0" fontId="0" fillId="10" borderId="0" xfId="0" applyFill="1"/>
    <xf numFmtId="165" fontId="0" fillId="0" borderId="33" xfId="0" applyNumberFormat="1" applyFont="1" applyFill="1" applyBorder="1" applyAlignment="1">
      <alignment horizontal="center" vertical="center"/>
    </xf>
    <xf numFmtId="165" fontId="0" fillId="0" borderId="33" xfId="0" applyNumberFormat="1" applyFont="1" applyFill="1" applyBorder="1" applyAlignment="1">
      <alignment horizontal="center" vertical="center" wrapText="1"/>
    </xf>
    <xf numFmtId="0" fontId="2" fillId="0" borderId="5" xfId="0" applyFont="1" applyBorder="1" applyAlignment="1">
      <alignment horizontal="center"/>
    </xf>
    <xf numFmtId="0" fontId="2" fillId="4" borderId="55" xfId="0" applyFont="1" applyFill="1" applyBorder="1" applyAlignment="1">
      <alignment horizontal="center"/>
    </xf>
    <xf numFmtId="0" fontId="2" fillId="2" borderId="38" xfId="0" applyFont="1" applyFill="1" applyBorder="1" applyAlignment="1">
      <alignment horizontal="center"/>
    </xf>
    <xf numFmtId="44" fontId="0" fillId="2" borderId="42" xfId="1" applyFont="1" applyFill="1" applyBorder="1" applyAlignment="1">
      <alignment horizontal="right"/>
    </xf>
    <xf numFmtId="44" fontId="0" fillId="2" borderId="42" xfId="0" applyNumberFormat="1" applyFill="1" applyBorder="1"/>
    <xf numFmtId="44" fontId="0" fillId="2" borderId="43" xfId="0" applyNumberFormat="1" applyFill="1" applyBorder="1"/>
    <xf numFmtId="44" fontId="0" fillId="2" borderId="44" xfId="0" applyNumberFormat="1" applyFill="1" applyBorder="1"/>
    <xf numFmtId="3" fontId="0" fillId="2" borderId="43" xfId="0" applyNumberFormat="1" applyFill="1" applyBorder="1"/>
    <xf numFmtId="3" fontId="0" fillId="2" borderId="44" xfId="0" applyNumberFormat="1" applyFill="1" applyBorder="1"/>
    <xf numFmtId="0" fontId="2" fillId="0" borderId="8" xfId="0" applyFont="1" applyBorder="1" applyAlignment="1">
      <alignment horizontal="center"/>
    </xf>
    <xf numFmtId="44" fontId="0" fillId="4" borderId="67" xfId="0" applyNumberFormat="1" applyFont="1" applyFill="1" applyBorder="1" applyAlignment="1">
      <alignment horizontal="right"/>
    </xf>
    <xf numFmtId="44" fontId="0" fillId="4" borderId="67" xfId="1" applyFont="1" applyFill="1" applyBorder="1" applyAlignment="1">
      <alignment horizontal="right"/>
    </xf>
    <xf numFmtId="44" fontId="1" fillId="4" borderId="67" xfId="1" applyFont="1" applyFill="1" applyBorder="1" applyAlignment="1">
      <alignment horizontal="center"/>
    </xf>
    <xf numFmtId="44" fontId="0" fillId="4" borderId="57" xfId="1" applyFont="1" applyFill="1" applyBorder="1"/>
    <xf numFmtId="0" fontId="2" fillId="2" borderId="37" xfId="0" applyFont="1" applyFill="1" applyBorder="1" applyAlignment="1">
      <alignment horizontal="center"/>
    </xf>
    <xf numFmtId="165" fontId="0" fillId="0" borderId="55" xfId="0" applyNumberFormat="1" applyFont="1" applyFill="1" applyBorder="1" applyAlignment="1">
      <alignment horizontal="center" vertical="center" wrapText="1"/>
    </xf>
    <xf numFmtId="10" fontId="0" fillId="0" borderId="1" xfId="2" applyNumberFormat="1" applyFont="1" applyBorder="1" applyAlignment="1">
      <alignment horizontal="center"/>
    </xf>
    <xf numFmtId="0" fontId="0" fillId="0" borderId="1" xfId="0" applyFont="1" applyBorder="1"/>
    <xf numFmtId="0" fontId="9" fillId="10" borderId="56" xfId="0" applyFont="1" applyFill="1" applyBorder="1"/>
    <xf numFmtId="169" fontId="18" fillId="0" borderId="1" xfId="1" applyNumberFormat="1" applyFont="1" applyBorder="1"/>
    <xf numFmtId="169" fontId="0" fillId="0" borderId="1" xfId="1" applyNumberFormat="1" applyFont="1" applyBorder="1"/>
    <xf numFmtId="10" fontId="0" fillId="0" borderId="33" xfId="2" applyNumberFormat="1" applyFont="1" applyBorder="1" applyAlignment="1">
      <alignment horizontal="center"/>
    </xf>
    <xf numFmtId="165" fontId="0" fillId="0" borderId="6" xfId="0" applyNumberFormat="1" applyFont="1" applyFill="1" applyBorder="1" applyAlignment="1">
      <alignment horizontal="center" vertical="center" wrapText="1"/>
    </xf>
    <xf numFmtId="0" fontId="2" fillId="3" borderId="64" xfId="0" applyFont="1" applyFill="1" applyBorder="1" applyAlignment="1">
      <alignment horizontal="center"/>
    </xf>
    <xf numFmtId="44" fontId="0" fillId="4" borderId="56" xfId="0" applyNumberFormat="1" applyFont="1" applyFill="1" applyBorder="1" applyAlignment="1">
      <alignment horizontal="right"/>
    </xf>
    <xf numFmtId="44" fontId="0" fillId="4" borderId="56" xfId="1" applyFont="1" applyFill="1" applyBorder="1" applyAlignment="1">
      <alignment horizontal="right"/>
    </xf>
    <xf numFmtId="44" fontId="1" fillId="4" borderId="56" xfId="1" applyFont="1" applyFill="1" applyBorder="1" applyAlignment="1">
      <alignment horizontal="center"/>
    </xf>
    <xf numFmtId="3" fontId="0" fillId="2" borderId="56" xfId="0" applyNumberFormat="1" applyFont="1" applyFill="1" applyBorder="1" applyAlignment="1">
      <alignment horizontal="right"/>
    </xf>
    <xf numFmtId="3" fontId="0" fillId="2" borderId="56" xfId="0" applyNumberFormat="1" applyFill="1" applyBorder="1"/>
    <xf numFmtId="3" fontId="0" fillId="2" borderId="57" xfId="0" applyNumberFormat="1" applyFill="1" applyBorder="1"/>
    <xf numFmtId="0" fontId="0" fillId="0" borderId="58" xfId="0" applyFont="1" applyFill="1" applyBorder="1" applyAlignment="1">
      <alignment horizontal="center"/>
    </xf>
    <xf numFmtId="165" fontId="0" fillId="0" borderId="53" xfId="0" applyNumberFormat="1" applyFont="1" applyFill="1" applyBorder="1" applyAlignment="1">
      <alignment horizontal="right"/>
    </xf>
    <xf numFmtId="165" fontId="0" fillId="0" borderId="58" xfId="0" applyNumberFormat="1" applyFont="1" applyFill="1" applyBorder="1" applyAlignment="1">
      <alignment horizontal="right"/>
    </xf>
    <xf numFmtId="0" fontId="2" fillId="3" borderId="40" xfId="0" applyFont="1" applyFill="1" applyBorder="1" applyAlignment="1">
      <alignment horizontal="center"/>
    </xf>
    <xf numFmtId="0" fontId="2" fillId="2" borderId="47" xfId="0" applyFont="1" applyFill="1" applyBorder="1" applyAlignment="1">
      <alignment horizontal="center"/>
    </xf>
    <xf numFmtId="165" fontId="2" fillId="9" borderId="48" xfId="0" applyNumberFormat="1" applyFont="1" applyFill="1" applyBorder="1" applyAlignment="1">
      <alignment horizontal="center"/>
    </xf>
    <xf numFmtId="0" fontId="7" fillId="9" borderId="37" xfId="0" applyFont="1" applyFill="1" applyBorder="1" applyAlignment="1">
      <alignment horizontal="center"/>
    </xf>
    <xf numFmtId="0" fontId="2" fillId="2" borderId="42" xfId="0" applyFont="1" applyFill="1" applyBorder="1" applyAlignment="1">
      <alignment horizontal="center"/>
    </xf>
    <xf numFmtId="165" fontId="1" fillId="0" borderId="45" xfId="1" applyNumberFormat="1" applyFont="1" applyFill="1" applyBorder="1" applyAlignment="1">
      <alignment horizontal="center"/>
    </xf>
    <xf numFmtId="0" fontId="2" fillId="0" borderId="54" xfId="0" applyFont="1" applyFill="1" applyBorder="1" applyAlignment="1">
      <alignment horizontal="center"/>
    </xf>
    <xf numFmtId="171" fontId="0" fillId="0" borderId="45" xfId="0" applyNumberFormat="1" applyFont="1" applyFill="1" applyBorder="1" applyAlignment="1">
      <alignment horizontal="center"/>
    </xf>
    <xf numFmtId="165" fontId="2" fillId="0" borderId="48" xfId="0" applyNumberFormat="1" applyFont="1" applyFill="1" applyBorder="1" applyAlignment="1">
      <alignment horizontal="center"/>
    </xf>
    <xf numFmtId="0" fontId="2" fillId="8" borderId="35" xfId="0" applyFont="1" applyFill="1" applyBorder="1" applyAlignment="1">
      <alignment horizontal="center"/>
    </xf>
    <xf numFmtId="3" fontId="0" fillId="4" borderId="0" xfId="0" applyNumberFormat="1" applyFont="1" applyFill="1" applyBorder="1"/>
    <xf numFmtId="44" fontId="0" fillId="4" borderId="64" xfId="0" applyNumberFormat="1" applyFill="1" applyBorder="1"/>
    <xf numFmtId="3" fontId="0" fillId="2" borderId="1" xfId="0" applyNumberFormat="1" applyFont="1" applyFill="1" applyBorder="1" applyAlignment="1">
      <alignment horizontal="right"/>
    </xf>
    <xf numFmtId="44" fontId="0" fillId="2" borderId="1" xfId="0" applyNumberFormat="1" applyFont="1" applyFill="1" applyBorder="1" applyAlignment="1">
      <alignment horizontal="right"/>
    </xf>
    <xf numFmtId="3" fontId="0" fillId="4" borderId="1" xfId="0" applyNumberFormat="1" applyFont="1" applyFill="1" applyBorder="1" applyAlignment="1">
      <alignment horizontal="right"/>
    </xf>
    <xf numFmtId="44" fontId="0" fillId="4" borderId="1" xfId="0" applyNumberFormat="1" applyFont="1" applyFill="1" applyBorder="1" applyAlignment="1">
      <alignment horizontal="right"/>
    </xf>
    <xf numFmtId="3" fontId="0" fillId="2" borderId="67" xfId="0" applyNumberFormat="1" applyFont="1" applyFill="1" applyBorder="1" applyAlignment="1">
      <alignment horizontal="right"/>
    </xf>
    <xf numFmtId="44" fontId="0" fillId="4" borderId="17" xfId="0" applyNumberFormat="1" applyFont="1" applyFill="1" applyBorder="1" applyAlignment="1">
      <alignment horizontal="right"/>
    </xf>
    <xf numFmtId="44" fontId="0" fillId="2" borderId="17" xfId="0" applyNumberFormat="1" applyFont="1" applyFill="1" applyBorder="1" applyAlignment="1">
      <alignment horizontal="right"/>
    </xf>
    <xf numFmtId="0" fontId="2" fillId="4" borderId="38" xfId="0" applyFont="1" applyFill="1" applyBorder="1" applyAlignment="1">
      <alignment horizontal="center"/>
    </xf>
    <xf numFmtId="171" fontId="0" fillId="0" borderId="17" xfId="0" applyNumberFormat="1" applyFont="1" applyFill="1" applyBorder="1" applyAlignment="1">
      <alignment horizontal="right"/>
    </xf>
    <xf numFmtId="0" fontId="0" fillId="0" borderId="8" xfId="0" applyFill="1" applyBorder="1"/>
    <xf numFmtId="0" fontId="0" fillId="3" borderId="54" xfId="0" applyFill="1" applyBorder="1"/>
    <xf numFmtId="0" fontId="0" fillId="3" borderId="67" xfId="0" applyFill="1" applyBorder="1"/>
    <xf numFmtId="0" fontId="0" fillId="3" borderId="56" xfId="0" applyFill="1" applyBorder="1"/>
    <xf numFmtId="0" fontId="0" fillId="3" borderId="57" xfId="0" applyFill="1" applyBorder="1"/>
    <xf numFmtId="165" fontId="0" fillId="16" borderId="0" xfId="0" applyNumberFormat="1" applyFill="1" applyBorder="1"/>
    <xf numFmtId="3" fontId="0" fillId="4" borderId="48" xfId="0" applyNumberFormat="1" applyFont="1" applyFill="1" applyBorder="1" applyAlignment="1">
      <alignment horizontal="right"/>
    </xf>
    <xf numFmtId="44" fontId="0" fillId="4" borderId="48" xfId="0" applyNumberFormat="1" applyFont="1" applyFill="1" applyBorder="1" applyAlignment="1">
      <alignment horizontal="right"/>
    </xf>
    <xf numFmtId="3" fontId="0" fillId="2" borderId="37" xfId="0" applyNumberFormat="1" applyFont="1" applyFill="1" applyBorder="1" applyAlignment="1">
      <alignment horizontal="right"/>
    </xf>
    <xf numFmtId="44" fontId="0" fillId="2" borderId="48" xfId="0" applyNumberFormat="1" applyFont="1" applyFill="1" applyBorder="1" applyAlignment="1">
      <alignment horizontal="right"/>
    </xf>
    <xf numFmtId="44" fontId="0" fillId="2" borderId="48" xfId="0" applyNumberFormat="1" applyFill="1" applyBorder="1"/>
    <xf numFmtId="10" fontId="4" fillId="6" borderId="38" xfId="0" applyNumberFormat="1" applyFont="1" applyFill="1" applyBorder="1"/>
    <xf numFmtId="171" fontId="0" fillId="0" borderId="50" xfId="0" applyNumberFormat="1" applyFont="1" applyFill="1" applyBorder="1" applyAlignment="1">
      <alignment horizontal="center"/>
    </xf>
    <xf numFmtId="171" fontId="0" fillId="0" borderId="16" xfId="0" applyNumberFormat="1" applyFont="1" applyFill="1" applyBorder="1" applyAlignment="1">
      <alignment horizontal="right"/>
    </xf>
    <xf numFmtId="165" fontId="0" fillId="4" borderId="48" xfId="0" applyNumberFormat="1" applyFill="1" applyBorder="1"/>
    <xf numFmtId="10" fontId="4" fillId="23" borderId="38" xfId="0" applyNumberFormat="1" applyFont="1" applyFill="1" applyBorder="1"/>
    <xf numFmtId="165" fontId="0" fillId="23" borderId="48" xfId="0" applyNumberFormat="1" applyFill="1" applyBorder="1"/>
    <xf numFmtId="171" fontId="0" fillId="23" borderId="50" xfId="0" applyNumberFormat="1" applyFont="1" applyFill="1" applyBorder="1" applyAlignment="1">
      <alignment horizontal="center"/>
    </xf>
    <xf numFmtId="10" fontId="4" fillId="23" borderId="36" xfId="2" applyNumberFormat="1" applyFont="1" applyFill="1" applyBorder="1"/>
    <xf numFmtId="0" fontId="0" fillId="23" borderId="44" xfId="0" applyFill="1" applyBorder="1"/>
    <xf numFmtId="0" fontId="2" fillId="23" borderId="48" xfId="0" applyFont="1" applyFill="1" applyBorder="1" applyAlignment="1">
      <alignment horizontal="center"/>
    </xf>
    <xf numFmtId="3" fontId="0" fillId="23" borderId="48" xfId="0" applyNumberFormat="1" applyFont="1" applyFill="1" applyBorder="1" applyAlignment="1">
      <alignment horizontal="right"/>
    </xf>
    <xf numFmtId="44" fontId="0" fillId="23" borderId="48" xfId="0" applyNumberFormat="1" applyFont="1" applyFill="1" applyBorder="1" applyAlignment="1">
      <alignment horizontal="right"/>
    </xf>
    <xf numFmtId="3" fontId="0" fillId="23" borderId="37" xfId="0" applyNumberFormat="1" applyFont="1" applyFill="1" applyBorder="1" applyAlignment="1">
      <alignment horizontal="right"/>
    </xf>
    <xf numFmtId="44" fontId="0" fillId="23" borderId="48" xfId="0" applyNumberFormat="1" applyFill="1" applyBorder="1"/>
    <xf numFmtId="0" fontId="2" fillId="23" borderId="50" xfId="0" applyFont="1" applyFill="1" applyBorder="1" applyAlignment="1">
      <alignment horizontal="center"/>
    </xf>
    <xf numFmtId="0" fontId="2" fillId="23" borderId="35" xfId="0" applyFont="1" applyFill="1" applyBorder="1" applyAlignment="1">
      <alignment horizontal="center"/>
    </xf>
    <xf numFmtId="0" fontId="2" fillId="23" borderId="47" xfId="0" applyFont="1" applyFill="1" applyBorder="1" applyAlignment="1">
      <alignment horizontal="center"/>
    </xf>
    <xf numFmtId="165" fontId="0" fillId="23" borderId="48" xfId="0" applyNumberFormat="1" applyFont="1" applyFill="1" applyBorder="1" applyAlignment="1">
      <alignment horizontal="center"/>
    </xf>
    <xf numFmtId="0" fontId="0" fillId="17" borderId="28" xfId="0" applyFill="1" applyBorder="1"/>
    <xf numFmtId="0" fontId="0" fillId="17" borderId="10" xfId="0" applyFill="1" applyBorder="1"/>
    <xf numFmtId="0" fontId="0" fillId="17" borderId="10" xfId="0" applyFill="1" applyBorder="1" applyAlignment="1">
      <alignment horizontal="center"/>
    </xf>
    <xf numFmtId="3" fontId="0" fillId="2" borderId="0" xfId="0" applyNumberFormat="1" applyFont="1" applyFill="1" applyBorder="1"/>
    <xf numFmtId="0" fontId="19" fillId="17" borderId="10" xfId="0" applyFont="1" applyFill="1" applyBorder="1" applyAlignment="1">
      <alignment horizontal="center"/>
    </xf>
    <xf numFmtId="0" fontId="0" fillId="0" borderId="11" xfId="0" applyFill="1" applyBorder="1"/>
    <xf numFmtId="0" fontId="0" fillId="0" borderId="30" xfId="0" applyFill="1" applyBorder="1"/>
    <xf numFmtId="3" fontId="0" fillId="0" borderId="30" xfId="0" applyNumberFormat="1" applyFill="1" applyBorder="1"/>
    <xf numFmtId="44" fontId="0" fillId="0" borderId="30" xfId="1" applyFont="1" applyFill="1" applyBorder="1"/>
    <xf numFmtId="44" fontId="0" fillId="0" borderId="30" xfId="0" applyNumberFormat="1" applyFill="1" applyBorder="1"/>
    <xf numFmtId="0" fontId="0" fillId="0" borderId="30" xfId="0" applyBorder="1"/>
    <xf numFmtId="10" fontId="4" fillId="0" borderId="30" xfId="2" applyNumberFormat="1" applyFont="1" applyFill="1" applyBorder="1"/>
    <xf numFmtId="0" fontId="0" fillId="0" borderId="59" xfId="0" applyBorder="1"/>
    <xf numFmtId="0" fontId="8" fillId="0" borderId="11" xfId="0" applyFont="1" applyBorder="1"/>
    <xf numFmtId="0" fontId="0" fillId="0" borderId="58" xfId="0" applyFont="1" applyBorder="1" applyAlignment="1">
      <alignment horizontal="right"/>
    </xf>
    <xf numFmtId="0" fontId="0" fillId="13" borderId="58" xfId="0" applyFont="1" applyFill="1" applyBorder="1" applyAlignment="1">
      <alignment horizontal="right"/>
    </xf>
    <xf numFmtId="0" fontId="2" fillId="13" borderId="58" xfId="0" applyFont="1" applyFill="1" applyBorder="1" applyAlignment="1">
      <alignment horizontal="center"/>
    </xf>
    <xf numFmtId="0" fontId="2" fillId="3" borderId="103" xfId="0" applyFont="1" applyFill="1" applyBorder="1" applyAlignment="1">
      <alignment horizontal="center"/>
    </xf>
    <xf numFmtId="0" fontId="2" fillId="17" borderId="48" xfId="0" applyFont="1" applyFill="1" applyBorder="1" applyAlignment="1">
      <alignment horizontal="center"/>
    </xf>
    <xf numFmtId="0" fontId="0" fillId="17" borderId="58" xfId="0" applyFont="1" applyFill="1" applyBorder="1" applyAlignment="1">
      <alignment horizontal="right"/>
    </xf>
    <xf numFmtId="44" fontId="0" fillId="17" borderId="58" xfId="0" applyNumberFormat="1" applyFont="1" applyFill="1" applyBorder="1" applyAlignment="1">
      <alignment horizontal="center"/>
    </xf>
    <xf numFmtId="44" fontId="0" fillId="17" borderId="58" xfId="0" applyNumberFormat="1" applyFill="1" applyBorder="1"/>
    <xf numFmtId="0" fontId="2" fillId="3" borderId="8" xfId="0" applyFont="1" applyFill="1" applyBorder="1" applyAlignment="1">
      <alignment horizontal="center"/>
    </xf>
    <xf numFmtId="0" fontId="2" fillId="10" borderId="8" xfId="0" applyFont="1" applyFill="1" applyBorder="1" applyAlignment="1">
      <alignment horizontal="center"/>
    </xf>
    <xf numFmtId="3" fontId="0" fillId="4" borderId="42" xfId="0" applyNumberFormat="1" applyFont="1" applyFill="1" applyBorder="1" applyAlignment="1">
      <alignment horizontal="right"/>
    </xf>
    <xf numFmtId="3" fontId="0" fillId="4" borderId="43" xfId="0" applyNumberFormat="1" applyFont="1" applyFill="1" applyBorder="1" applyAlignment="1">
      <alignment horizontal="right"/>
    </xf>
    <xf numFmtId="3" fontId="0" fillId="4" borderId="42" xfId="0" applyNumberFormat="1" applyFill="1" applyBorder="1"/>
    <xf numFmtId="3" fontId="0" fillId="4" borderId="10" xfId="0" applyNumberFormat="1" applyFill="1" applyBorder="1"/>
    <xf numFmtId="3" fontId="0" fillId="4" borderId="43" xfId="0" applyNumberFormat="1" applyFill="1" applyBorder="1"/>
    <xf numFmtId="0" fontId="3" fillId="4" borderId="44" xfId="0" applyFont="1" applyFill="1" applyBorder="1" applyAlignment="1">
      <alignment vertical="center"/>
    </xf>
    <xf numFmtId="3" fontId="0" fillId="4" borderId="67" xfId="0" applyNumberFormat="1" applyFont="1" applyFill="1" applyBorder="1" applyAlignment="1">
      <alignment horizontal="right"/>
    </xf>
    <xf numFmtId="3" fontId="0" fillId="4" borderId="67" xfId="0" applyNumberFormat="1" applyFill="1" applyBorder="1"/>
    <xf numFmtId="0" fontId="3" fillId="4" borderId="56" xfId="0" applyNumberFormat="1" applyFont="1" applyFill="1" applyBorder="1" applyAlignment="1">
      <alignment vertical="center"/>
    </xf>
    <xf numFmtId="44" fontId="0" fillId="4" borderId="66" xfId="0" applyNumberFormat="1" applyFill="1" applyBorder="1"/>
    <xf numFmtId="44" fontId="0" fillId="2" borderId="42" xfId="0" applyNumberFormat="1" applyFont="1" applyFill="1" applyBorder="1" applyAlignment="1">
      <alignment horizontal="right"/>
    </xf>
    <xf numFmtId="44" fontId="0" fillId="2" borderId="43" xfId="0" applyNumberFormat="1" applyFont="1" applyFill="1" applyBorder="1" applyAlignment="1">
      <alignment horizontal="right"/>
    </xf>
    <xf numFmtId="44" fontId="1" fillId="2" borderId="10" xfId="1" applyFont="1" applyFill="1" applyBorder="1" applyAlignment="1">
      <alignment horizontal="center"/>
    </xf>
    <xf numFmtId="44" fontId="1" fillId="2" borderId="43" xfId="1" applyFont="1" applyFill="1" applyBorder="1" applyAlignment="1">
      <alignment horizontal="center"/>
    </xf>
    <xf numFmtId="44" fontId="0" fillId="2" borderId="43" xfId="1" applyFont="1" applyFill="1" applyBorder="1"/>
    <xf numFmtId="44" fontId="0" fillId="2" borderId="44" xfId="1" applyFont="1" applyFill="1" applyBorder="1"/>
    <xf numFmtId="165" fontId="2" fillId="3" borderId="53" xfId="0" applyNumberFormat="1" applyFont="1" applyFill="1" applyBorder="1" applyAlignment="1">
      <alignment horizontal="center"/>
    </xf>
    <xf numFmtId="165" fontId="2" fillId="0" borderId="63" xfId="0" applyNumberFormat="1" applyFont="1" applyFill="1" applyBorder="1" applyAlignment="1">
      <alignment horizontal="center"/>
    </xf>
    <xf numFmtId="0" fontId="2" fillId="0" borderId="65" xfId="0" applyFont="1" applyFill="1" applyBorder="1" applyAlignment="1">
      <alignment horizontal="center"/>
    </xf>
    <xf numFmtId="3" fontId="0" fillId="4" borderId="55" xfId="0" applyNumberFormat="1" applyFont="1" applyFill="1" applyBorder="1" applyAlignment="1">
      <alignment horizontal="right"/>
    </xf>
    <xf numFmtId="0" fontId="2" fillId="4" borderId="40" xfId="0" applyFont="1" applyFill="1" applyBorder="1" applyAlignment="1">
      <alignment horizontal="center"/>
    </xf>
    <xf numFmtId="0" fontId="2" fillId="10" borderId="41" xfId="0" applyFont="1" applyFill="1" applyBorder="1" applyAlignment="1">
      <alignment horizontal="center"/>
    </xf>
    <xf numFmtId="0" fontId="2" fillId="0" borderId="81" xfId="0" applyFont="1" applyBorder="1" applyAlignment="1">
      <alignment horizontal="center"/>
    </xf>
    <xf numFmtId="171" fontId="0" fillId="0" borderId="63" xfId="0" applyNumberFormat="1" applyFont="1" applyFill="1" applyBorder="1" applyAlignment="1">
      <alignment horizontal="center"/>
    </xf>
    <xf numFmtId="165" fontId="0" fillId="4" borderId="58" xfId="0" applyNumberFormat="1" applyFont="1" applyFill="1" applyBorder="1" applyAlignment="1">
      <alignment horizontal="center"/>
    </xf>
    <xf numFmtId="165" fontId="2" fillId="4" borderId="58" xfId="0" applyNumberFormat="1" applyFont="1" applyFill="1" applyBorder="1" applyAlignment="1">
      <alignment horizontal="center"/>
    </xf>
    <xf numFmtId="0" fontId="2" fillId="4" borderId="67" xfId="0" applyFont="1" applyFill="1" applyBorder="1" applyAlignment="1">
      <alignment horizontal="center"/>
    </xf>
    <xf numFmtId="44" fontId="0" fillId="0" borderId="14" xfId="0" applyNumberFormat="1" applyFill="1" applyBorder="1"/>
    <xf numFmtId="165" fontId="0" fillId="0" borderId="55" xfId="0" applyNumberFormat="1" applyFont="1" applyFill="1" applyBorder="1" applyAlignment="1">
      <alignment horizontal="center"/>
    </xf>
    <xf numFmtId="165" fontId="0" fillId="0" borderId="27" xfId="0" applyNumberFormat="1" applyFont="1" applyFill="1" applyBorder="1" applyAlignment="1">
      <alignment horizontal="center"/>
    </xf>
    <xf numFmtId="0" fontId="2" fillId="0" borderId="31" xfId="0" applyFont="1" applyFill="1" applyBorder="1" applyAlignment="1">
      <alignment horizontal="center"/>
    </xf>
    <xf numFmtId="0" fontId="2" fillId="0" borderId="10" xfId="0" applyFont="1" applyFill="1" applyBorder="1" applyAlignment="1">
      <alignment horizontal="center"/>
    </xf>
    <xf numFmtId="44" fontId="1" fillId="4" borderId="56" xfId="1" applyFont="1" applyFill="1" applyBorder="1" applyAlignment="1">
      <alignment horizontal="right"/>
    </xf>
    <xf numFmtId="44" fontId="0" fillId="0" borderId="43" xfId="1" applyFont="1" applyFill="1" applyBorder="1"/>
    <xf numFmtId="3" fontId="0" fillId="0" borderId="17" xfId="0" applyNumberFormat="1" applyFill="1" applyBorder="1"/>
    <xf numFmtId="0" fontId="2" fillId="3" borderId="10" xfId="0" applyFont="1" applyFill="1" applyBorder="1" applyAlignment="1">
      <alignment horizontal="center"/>
    </xf>
    <xf numFmtId="0" fontId="2" fillId="3" borderId="60" xfId="0" applyFont="1" applyFill="1" applyBorder="1" applyAlignment="1">
      <alignment horizontal="center"/>
    </xf>
    <xf numFmtId="0" fontId="2" fillId="3" borderId="43" xfId="0" applyFont="1" applyFill="1" applyBorder="1" applyAlignment="1">
      <alignment horizontal="center"/>
    </xf>
    <xf numFmtId="0" fontId="2" fillId="0" borderId="42" xfId="0" applyFont="1" applyFill="1" applyBorder="1" applyAlignment="1">
      <alignment horizontal="center"/>
    </xf>
    <xf numFmtId="44" fontId="0" fillId="0" borderId="10" xfId="0" applyNumberFormat="1" applyFill="1" applyBorder="1"/>
    <xf numFmtId="44" fontId="0" fillId="0" borderId="43" xfId="0" applyNumberFormat="1" applyFill="1" applyBorder="1"/>
    <xf numFmtId="44" fontId="0" fillId="3" borderId="44" xfId="0" applyNumberFormat="1" applyFill="1" applyBorder="1"/>
    <xf numFmtId="165" fontId="0" fillId="0" borderId="65" xfId="1" applyNumberFormat="1" applyFont="1" applyFill="1" applyBorder="1" applyAlignment="1">
      <alignment horizontal="right"/>
    </xf>
    <xf numFmtId="0" fontId="2" fillId="8" borderId="24" xfId="0" applyFont="1" applyFill="1" applyBorder="1" applyAlignment="1">
      <alignment horizontal="center"/>
    </xf>
    <xf numFmtId="2" fontId="1" fillId="2" borderId="17" xfId="1" applyNumberFormat="1" applyFont="1" applyFill="1" applyBorder="1" applyAlignment="1">
      <alignment horizontal="right"/>
    </xf>
    <xf numFmtId="0" fontId="2" fillId="0" borderId="53" xfId="0" applyFont="1" applyFill="1" applyBorder="1" applyAlignment="1">
      <alignment horizontal="center" vertical="center"/>
    </xf>
    <xf numFmtId="165" fontId="0" fillId="0" borderId="58" xfId="1" applyNumberFormat="1" applyFont="1" applyFill="1" applyBorder="1" applyAlignment="1">
      <alignment horizontal="center"/>
    </xf>
    <xf numFmtId="0" fontId="2" fillId="0" borderId="58" xfId="0" applyFont="1" applyBorder="1"/>
    <xf numFmtId="0" fontId="2" fillId="2" borderId="67" xfId="0" applyFont="1" applyFill="1" applyBorder="1"/>
    <xf numFmtId="3" fontId="0" fillId="0" borderId="53" xfId="0" applyNumberFormat="1" applyFont="1" applyBorder="1" applyAlignment="1">
      <alignment horizontal="right"/>
    </xf>
    <xf numFmtId="0" fontId="2" fillId="2" borderId="63" xfId="0" applyFont="1" applyFill="1" applyBorder="1" applyAlignment="1">
      <alignment horizontal="center"/>
    </xf>
    <xf numFmtId="0" fontId="2" fillId="2" borderId="34" xfId="0" applyFont="1" applyFill="1" applyBorder="1" applyAlignment="1">
      <alignment horizontal="center"/>
    </xf>
    <xf numFmtId="165" fontId="0" fillId="7" borderId="48" xfId="0" applyNumberFormat="1" applyFont="1" applyFill="1" applyBorder="1" applyAlignment="1">
      <alignment horizontal="center"/>
    </xf>
    <xf numFmtId="0" fontId="0" fillId="3" borderId="50" xfId="0" applyFont="1" applyFill="1" applyBorder="1" applyAlignment="1">
      <alignment horizontal="center"/>
    </xf>
    <xf numFmtId="0" fontId="0" fillId="3" borderId="35" xfId="0" applyFont="1" applyFill="1" applyBorder="1" applyAlignment="1">
      <alignment horizontal="center"/>
    </xf>
    <xf numFmtId="0" fontId="0" fillId="3" borderId="47" xfId="0" applyFont="1" applyFill="1" applyBorder="1" applyAlignment="1">
      <alignment horizontal="center"/>
    </xf>
    <xf numFmtId="0" fontId="0" fillId="7" borderId="48" xfId="0" applyFont="1" applyFill="1" applyBorder="1" applyAlignment="1">
      <alignment horizontal="center"/>
    </xf>
    <xf numFmtId="165" fontId="0" fillId="8" borderId="48" xfId="0" applyNumberFormat="1" applyFont="1" applyFill="1" applyBorder="1" applyAlignment="1">
      <alignment horizontal="center"/>
    </xf>
    <xf numFmtId="0" fontId="0" fillId="8" borderId="48" xfId="0" applyFont="1" applyFill="1" applyBorder="1" applyAlignment="1">
      <alignment horizontal="center"/>
    </xf>
    <xf numFmtId="0" fontId="0" fillId="8" borderId="38" xfId="0" applyFont="1" applyFill="1" applyBorder="1" applyAlignment="1">
      <alignment horizontal="center"/>
    </xf>
    <xf numFmtId="0" fontId="2" fillId="2" borderId="53" xfId="0" applyFont="1" applyFill="1" applyBorder="1"/>
    <xf numFmtId="0" fontId="2" fillId="2" borderId="58" xfId="0" applyFont="1" applyFill="1" applyBorder="1"/>
    <xf numFmtId="165" fontId="1" fillId="0" borderId="81" xfId="1" applyNumberFormat="1" applyFont="1" applyFill="1" applyBorder="1" applyAlignment="1">
      <alignment horizontal="right"/>
    </xf>
    <xf numFmtId="3" fontId="0" fillId="4" borderId="65" xfId="0" applyNumberFormat="1" applyFont="1" applyFill="1" applyBorder="1" applyAlignment="1">
      <alignment horizontal="right"/>
    </xf>
    <xf numFmtId="0" fontId="0" fillId="12" borderId="34" xfId="0" applyFill="1" applyBorder="1"/>
    <xf numFmtId="165" fontId="0" fillId="0" borderId="67" xfId="1" applyNumberFormat="1" applyFont="1" applyFill="1" applyBorder="1" applyAlignment="1">
      <alignment horizontal="center"/>
    </xf>
    <xf numFmtId="3" fontId="0" fillId="4" borderId="44" xfId="0" applyNumberFormat="1" applyFill="1" applyBorder="1"/>
    <xf numFmtId="165" fontId="2" fillId="4" borderId="48" xfId="0" applyNumberFormat="1" applyFont="1" applyFill="1" applyBorder="1" applyAlignment="1">
      <alignment horizontal="center"/>
    </xf>
    <xf numFmtId="165" fontId="0" fillId="3" borderId="58" xfId="0" applyNumberFormat="1" applyFont="1" applyFill="1" applyBorder="1" applyAlignment="1">
      <alignment horizontal="center"/>
    </xf>
    <xf numFmtId="165" fontId="0" fillId="3" borderId="17" xfId="0" applyNumberFormat="1" applyFont="1" applyFill="1" applyBorder="1" applyAlignment="1">
      <alignment horizontal="center"/>
    </xf>
    <xf numFmtId="0" fontId="0" fillId="0" borderId="55" xfId="0" applyBorder="1"/>
    <xf numFmtId="165" fontId="0" fillId="3" borderId="65" xfId="0" applyNumberFormat="1" applyFont="1" applyFill="1" applyBorder="1" applyAlignment="1">
      <alignment horizontal="center"/>
    </xf>
    <xf numFmtId="165" fontId="0" fillId="3" borderId="53" xfId="0" applyNumberFormat="1" applyFont="1" applyFill="1" applyBorder="1" applyAlignment="1">
      <alignment horizontal="center"/>
    </xf>
    <xf numFmtId="0" fontId="0" fillId="10" borderId="68" xfId="0" applyFill="1" applyBorder="1"/>
    <xf numFmtId="0" fontId="5" fillId="0" borderId="51" xfId="0" applyFont="1" applyFill="1" applyBorder="1" applyAlignment="1">
      <alignment vertical="center"/>
    </xf>
    <xf numFmtId="0" fontId="2" fillId="3" borderId="81" xfId="0" applyFont="1" applyFill="1" applyBorder="1" applyAlignment="1">
      <alignment horizontal="center"/>
    </xf>
    <xf numFmtId="0" fontId="2" fillId="4" borderId="0" xfId="0" applyFont="1" applyFill="1" applyBorder="1" applyAlignment="1">
      <alignment horizontal="center" vertical="center"/>
    </xf>
    <xf numFmtId="44" fontId="0" fillId="0" borderId="44" xfId="0" applyNumberFormat="1" applyFill="1" applyBorder="1"/>
    <xf numFmtId="165" fontId="2" fillId="3" borderId="55" xfId="0" applyNumberFormat="1" applyFont="1" applyFill="1" applyBorder="1" applyAlignment="1">
      <alignment horizontal="center"/>
    </xf>
    <xf numFmtId="165" fontId="0" fillId="3" borderId="55" xfId="0" applyNumberFormat="1" applyFont="1" applyFill="1" applyBorder="1" applyAlignment="1">
      <alignment horizontal="center"/>
    </xf>
    <xf numFmtId="10" fontId="4" fillId="6" borderId="10" xfId="0" applyNumberFormat="1" applyFont="1" applyFill="1" applyBorder="1"/>
    <xf numFmtId="165" fontId="2" fillId="0" borderId="92" xfId="0" applyNumberFormat="1" applyFont="1" applyFill="1" applyBorder="1" applyAlignment="1">
      <alignment horizontal="center"/>
    </xf>
    <xf numFmtId="165" fontId="2" fillId="3" borderId="21" xfId="0" applyNumberFormat="1" applyFont="1" applyFill="1" applyBorder="1" applyAlignment="1">
      <alignment horizontal="center"/>
    </xf>
    <xf numFmtId="165" fontId="0" fillId="3" borderId="49" xfId="0" applyNumberFormat="1" applyFont="1" applyFill="1" applyBorder="1" applyAlignment="1">
      <alignment horizontal="center"/>
    </xf>
    <xf numFmtId="3" fontId="0" fillId="4" borderId="10" xfId="0" applyNumberFormat="1" applyFont="1" applyFill="1" applyBorder="1" applyAlignment="1">
      <alignment horizontal="right"/>
    </xf>
    <xf numFmtId="3" fontId="0" fillId="10" borderId="43" xfId="0" applyNumberFormat="1" applyFill="1" applyBorder="1"/>
    <xf numFmtId="3" fontId="0" fillId="4" borderId="75" xfId="0" applyNumberFormat="1" applyFont="1" applyFill="1" applyBorder="1" applyAlignment="1">
      <alignment horizontal="right"/>
    </xf>
    <xf numFmtId="3" fontId="0" fillId="10" borderId="56" xfId="0" applyNumberFormat="1" applyFill="1" applyBorder="1"/>
    <xf numFmtId="3" fontId="0" fillId="10" borderId="57" xfId="0" applyNumberFormat="1" applyFill="1" applyBorder="1"/>
    <xf numFmtId="0" fontId="2" fillId="4" borderId="75" xfId="0" applyFont="1" applyFill="1" applyBorder="1" applyAlignment="1">
      <alignment horizontal="center"/>
    </xf>
    <xf numFmtId="44" fontId="0" fillId="10" borderId="67" xfId="1" applyFont="1" applyFill="1" applyBorder="1"/>
    <xf numFmtId="44" fontId="0" fillId="10" borderId="56" xfId="1" applyFont="1" applyFill="1" applyBorder="1"/>
    <xf numFmtId="3" fontId="0" fillId="2" borderId="55" xfId="0" applyNumberFormat="1" applyFont="1" applyFill="1" applyBorder="1" applyAlignment="1">
      <alignment horizontal="right"/>
    </xf>
    <xf numFmtId="0" fontId="0" fillId="4" borderId="59" xfId="0" applyFill="1" applyBorder="1"/>
    <xf numFmtId="165" fontId="0" fillId="0" borderId="8" xfId="0" applyNumberFormat="1" applyBorder="1"/>
    <xf numFmtId="0" fontId="2" fillId="0" borderId="62" xfId="0" applyFont="1" applyFill="1" applyBorder="1" applyAlignment="1">
      <alignment horizontal="center"/>
    </xf>
    <xf numFmtId="0" fontId="2" fillId="0" borderId="47" xfId="0" applyFont="1" applyFill="1" applyBorder="1" applyAlignment="1">
      <alignment horizontal="center"/>
    </xf>
    <xf numFmtId="10" fontId="4" fillId="10" borderId="51" xfId="2" applyNumberFormat="1" applyFont="1" applyFill="1" applyBorder="1"/>
    <xf numFmtId="0" fontId="0" fillId="10" borderId="0" xfId="0" applyFont="1" applyFill="1" applyBorder="1" applyAlignment="1">
      <alignment horizontal="center"/>
    </xf>
    <xf numFmtId="165" fontId="2" fillId="10" borderId="92" xfId="0" applyNumberFormat="1" applyFont="1" applyFill="1" applyBorder="1" applyAlignment="1">
      <alignment horizontal="center"/>
    </xf>
    <xf numFmtId="0" fontId="2" fillId="10" borderId="32" xfId="0" applyFont="1" applyFill="1" applyBorder="1" applyAlignment="1">
      <alignment horizontal="center"/>
    </xf>
    <xf numFmtId="171" fontId="0" fillId="0" borderId="55" xfId="0" applyNumberFormat="1" applyFont="1" applyFill="1" applyBorder="1" applyAlignment="1">
      <alignment horizontal="center" vertical="center" wrapText="1"/>
    </xf>
    <xf numFmtId="171" fontId="0" fillId="0" borderId="6" xfId="0" applyNumberFormat="1" applyFont="1" applyFill="1" applyBorder="1" applyAlignment="1">
      <alignment horizontal="center" vertical="center" wrapText="1"/>
    </xf>
    <xf numFmtId="10" fontId="0" fillId="0" borderId="33" xfId="0" applyNumberFormat="1" applyFont="1" applyFill="1" applyBorder="1" applyAlignment="1">
      <alignment horizontal="center" wrapText="1"/>
    </xf>
    <xf numFmtId="10" fontId="0" fillId="0" borderId="1" xfId="0" applyNumberFormat="1" applyFont="1" applyFill="1" applyBorder="1" applyAlignment="1">
      <alignment horizontal="center" wrapText="1"/>
    </xf>
    <xf numFmtId="10" fontId="1" fillId="0" borderId="6" xfId="2" applyNumberFormat="1" applyFont="1" applyFill="1" applyBorder="1" applyAlignment="1">
      <alignment horizontal="center" vertical="center" wrapText="1"/>
    </xf>
    <xf numFmtId="10" fontId="1" fillId="0" borderId="33" xfId="2" applyNumberFormat="1" applyFont="1" applyBorder="1" applyAlignment="1">
      <alignment horizontal="center"/>
    </xf>
    <xf numFmtId="10" fontId="1" fillId="0" borderId="1" xfId="2" applyNumberFormat="1" applyFont="1" applyBorder="1" applyAlignment="1">
      <alignment horizontal="center"/>
    </xf>
    <xf numFmtId="10" fontId="2" fillId="0" borderId="1" xfId="2" applyNumberFormat="1" applyFont="1" applyBorder="1" applyAlignment="1">
      <alignment horizontal="center"/>
    </xf>
    <xf numFmtId="10" fontId="2" fillId="0" borderId="1" xfId="2" applyNumberFormat="1" applyFont="1" applyFill="1" applyBorder="1" applyAlignment="1">
      <alignment horizontal="center"/>
    </xf>
    <xf numFmtId="0" fontId="2" fillId="0" borderId="14" xfId="0" applyFont="1" applyBorder="1" applyAlignment="1">
      <alignment horizontal="center"/>
    </xf>
    <xf numFmtId="0" fontId="2" fillId="0" borderId="10" xfId="0" applyFont="1" applyBorder="1" applyAlignment="1">
      <alignment horizontal="center"/>
    </xf>
    <xf numFmtId="0" fontId="2" fillId="0" borderId="43" xfId="0" applyFont="1" applyBorder="1" applyAlignment="1">
      <alignment horizontal="center"/>
    </xf>
    <xf numFmtId="0" fontId="2" fillId="0" borderId="42" xfId="0" applyFont="1" applyBorder="1" applyAlignment="1">
      <alignment horizontal="center"/>
    </xf>
    <xf numFmtId="0" fontId="2" fillId="0" borderId="28" xfId="0" applyFont="1" applyBorder="1" applyAlignment="1">
      <alignment horizontal="center" vertical="center"/>
    </xf>
    <xf numFmtId="3" fontId="0" fillId="4" borderId="63" xfId="1" applyNumberFormat="1" applyFont="1" applyFill="1" applyBorder="1" applyAlignment="1">
      <alignment horizontal="right"/>
    </xf>
    <xf numFmtId="3" fontId="0" fillId="2" borderId="58" xfId="1" applyNumberFormat="1" applyFont="1" applyFill="1" applyBorder="1" applyAlignment="1">
      <alignment horizontal="right"/>
    </xf>
    <xf numFmtId="3" fontId="0" fillId="0" borderId="33" xfId="0" applyNumberFormat="1" applyFont="1" applyFill="1" applyBorder="1" applyAlignment="1">
      <alignment horizontal="right"/>
    </xf>
    <xf numFmtId="165" fontId="0" fillId="0" borderId="33" xfId="0" applyNumberFormat="1" applyFont="1" applyFill="1" applyBorder="1" applyAlignment="1">
      <alignment horizontal="center"/>
    </xf>
    <xf numFmtId="165" fontId="0" fillId="0" borderId="58" xfId="0" applyNumberFormat="1" applyFill="1" applyBorder="1"/>
    <xf numFmtId="165" fontId="0" fillId="0" borderId="33" xfId="1" applyNumberFormat="1" applyFont="1" applyFill="1" applyBorder="1" applyAlignment="1">
      <alignment horizontal="center"/>
    </xf>
    <xf numFmtId="0" fontId="2" fillId="0" borderId="38" xfId="0" applyFont="1" applyBorder="1" applyAlignment="1">
      <alignment horizontal="center" vertical="center"/>
    </xf>
    <xf numFmtId="0" fontId="5" fillId="0" borderId="56" xfId="0" applyFont="1" applyBorder="1" applyAlignment="1">
      <alignment vertical="center"/>
    </xf>
    <xf numFmtId="165" fontId="0" fillId="0" borderId="49" xfId="0" applyNumberFormat="1" applyFont="1" applyFill="1" applyBorder="1" applyAlignment="1">
      <alignment horizontal="center" vertical="center"/>
    </xf>
    <xf numFmtId="165" fontId="0" fillId="0" borderId="55" xfId="0" applyNumberFormat="1" applyFont="1" applyFill="1" applyBorder="1" applyAlignment="1">
      <alignment horizontal="center" vertical="center"/>
    </xf>
    <xf numFmtId="170" fontId="0" fillId="0" borderId="0" xfId="0" applyNumberFormat="1"/>
    <xf numFmtId="0" fontId="0" fillId="0" borderId="0" xfId="0" applyBorder="1" applyAlignment="1">
      <alignment horizontal="right"/>
    </xf>
    <xf numFmtId="0" fontId="20" fillId="0" borderId="4" xfId="0" applyFont="1" applyBorder="1"/>
    <xf numFmtId="0" fontId="0" fillId="0" borderId="63" xfId="0" applyFill="1" applyBorder="1"/>
    <xf numFmtId="0" fontId="0" fillId="0" borderId="58" xfId="0" applyFill="1" applyBorder="1"/>
    <xf numFmtId="171" fontId="0" fillId="0" borderId="0" xfId="0" applyNumberFormat="1"/>
    <xf numFmtId="10" fontId="2" fillId="11" borderId="1" xfId="2" applyNumberFormat="1" applyFont="1" applyFill="1" applyBorder="1" applyAlignment="1">
      <alignment horizontal="center"/>
    </xf>
    <xf numFmtId="0" fontId="2" fillId="5" borderId="16" xfId="0" applyFont="1" applyFill="1" applyBorder="1"/>
    <xf numFmtId="3" fontId="0" fillId="4" borderId="58" xfId="0" applyNumberFormat="1" applyFont="1" applyFill="1" applyBorder="1" applyAlignment="1"/>
    <xf numFmtId="3" fontId="0" fillId="4" borderId="17" xfId="0" applyNumberFormat="1" applyFont="1" applyFill="1" applyBorder="1" applyAlignment="1"/>
    <xf numFmtId="3" fontId="0" fillId="4" borderId="51" xfId="0" applyNumberFormat="1" applyFill="1" applyBorder="1" applyAlignment="1"/>
    <xf numFmtId="3" fontId="0" fillId="4" borderId="52" xfId="0" applyNumberFormat="1" applyFill="1" applyBorder="1" applyAlignment="1"/>
    <xf numFmtId="3" fontId="0" fillId="2" borderId="42" xfId="0" applyNumberFormat="1" applyFont="1" applyFill="1" applyBorder="1" applyAlignment="1">
      <alignment horizontal="right"/>
    </xf>
    <xf numFmtId="3" fontId="1" fillId="2" borderId="42" xfId="1" applyNumberFormat="1" applyFont="1" applyFill="1" applyBorder="1" applyAlignment="1">
      <alignment horizontal="right"/>
    </xf>
    <xf numFmtId="3" fontId="1" fillId="2" borderId="43" xfId="1" applyNumberFormat="1" applyFont="1" applyFill="1" applyBorder="1" applyAlignment="1">
      <alignment horizontal="right"/>
    </xf>
    <xf numFmtId="0" fontId="2" fillId="5" borderId="48" xfId="0" applyFont="1" applyFill="1" applyBorder="1" applyAlignment="1">
      <alignment horizontal="center"/>
    </xf>
    <xf numFmtId="44" fontId="0" fillId="5" borderId="58" xfId="0" applyNumberFormat="1" applyFont="1" applyFill="1" applyBorder="1" applyAlignment="1">
      <alignment horizontal="center"/>
    </xf>
    <xf numFmtId="44" fontId="0" fillId="5" borderId="58" xfId="0" applyNumberFormat="1" applyFill="1" applyBorder="1"/>
    <xf numFmtId="3" fontId="0" fillId="5" borderId="58" xfId="0" applyNumberFormat="1" applyFont="1" applyFill="1" applyBorder="1" applyAlignment="1"/>
    <xf numFmtId="3" fontId="0" fillId="5" borderId="58" xfId="0" applyNumberFormat="1" applyFill="1" applyBorder="1"/>
    <xf numFmtId="44" fontId="0" fillId="5" borderId="51" xfId="1" applyFont="1" applyFill="1" applyBorder="1"/>
    <xf numFmtId="3" fontId="0" fillId="5" borderId="51" xfId="0" applyNumberFormat="1" applyFill="1" applyBorder="1"/>
    <xf numFmtId="44" fontId="0" fillId="5" borderId="58" xfId="1" applyFont="1" applyFill="1" applyBorder="1"/>
    <xf numFmtId="44" fontId="0" fillId="5" borderId="51" xfId="0" applyNumberFormat="1" applyFill="1" applyBorder="1"/>
    <xf numFmtId="3" fontId="0" fillId="5" borderId="52" xfId="0" applyNumberFormat="1" applyFill="1" applyBorder="1"/>
    <xf numFmtId="44" fontId="0" fillId="5" borderId="52" xfId="1" applyFont="1" applyFill="1" applyBorder="1"/>
    <xf numFmtId="44" fontId="0" fillId="5" borderId="52" xfId="0" applyNumberFormat="1" applyFill="1" applyBorder="1"/>
    <xf numFmtId="0" fontId="2" fillId="8" borderId="37" xfId="0" applyFont="1" applyFill="1" applyBorder="1" applyAlignment="1">
      <alignment horizontal="center"/>
    </xf>
    <xf numFmtId="44" fontId="0" fillId="8" borderId="58" xfId="1" applyFont="1" applyFill="1" applyBorder="1"/>
    <xf numFmtId="44" fontId="0" fillId="8" borderId="58" xfId="0" applyNumberFormat="1" applyFill="1" applyBorder="1"/>
    <xf numFmtId="44" fontId="0" fillId="8" borderId="51" xfId="0" applyNumberFormat="1" applyFill="1" applyBorder="1"/>
    <xf numFmtId="44" fontId="0" fillId="8" borderId="52" xfId="0" applyNumberFormat="1" applyFill="1" applyBorder="1"/>
    <xf numFmtId="165" fontId="1" fillId="0" borderId="17" xfId="1" applyNumberFormat="1" applyFont="1" applyFill="1" applyBorder="1" applyAlignment="1">
      <alignment horizontal="center"/>
    </xf>
    <xf numFmtId="165" fontId="1" fillId="0" borderId="0" xfId="1" applyNumberFormat="1" applyFont="1" applyFill="1" applyBorder="1" applyAlignment="1">
      <alignment horizontal="center"/>
    </xf>
    <xf numFmtId="10" fontId="4" fillId="6" borderId="0" xfId="2" applyNumberFormat="1" applyFont="1" applyFill="1" applyBorder="1"/>
    <xf numFmtId="10" fontId="4" fillId="6" borderId="1" xfId="2" applyNumberFormat="1" applyFont="1" applyFill="1" applyBorder="1"/>
    <xf numFmtId="165" fontId="1" fillId="0" borderId="58" xfId="1" applyNumberFormat="1" applyFont="1" applyFill="1" applyBorder="1" applyAlignment="1">
      <alignment horizontal="right"/>
    </xf>
    <xf numFmtId="165" fontId="0" fillId="3" borderId="53" xfId="1" applyNumberFormat="1" applyFont="1" applyFill="1" applyBorder="1" applyAlignment="1">
      <alignment horizontal="right"/>
    </xf>
    <xf numFmtId="165" fontId="1" fillId="3" borderId="54" xfId="1" applyNumberFormat="1" applyFont="1" applyFill="1" applyBorder="1" applyAlignment="1">
      <alignment horizontal="center"/>
    </xf>
    <xf numFmtId="0" fontId="0" fillId="0" borderId="0" xfId="0" applyFill="1" applyAlignment="1">
      <alignment horizontal="center"/>
    </xf>
    <xf numFmtId="165" fontId="1" fillId="0" borderId="51" xfId="1" applyNumberFormat="1" applyFont="1" applyFill="1" applyBorder="1" applyAlignment="1">
      <alignment horizontal="center"/>
    </xf>
    <xf numFmtId="165" fontId="0" fillId="3" borderId="52" xfId="1" applyNumberFormat="1" applyFont="1" applyFill="1" applyBorder="1" applyAlignment="1">
      <alignment horizontal="center"/>
    </xf>
    <xf numFmtId="3" fontId="0" fillId="5" borderId="58" xfId="0" applyNumberFormat="1" applyFont="1" applyFill="1" applyBorder="1" applyAlignment="1">
      <alignment horizontal="right"/>
    </xf>
    <xf numFmtId="3" fontId="0" fillId="8" borderId="58" xfId="0" applyNumberFormat="1" applyFont="1" applyFill="1" applyBorder="1" applyAlignment="1">
      <alignment horizontal="right"/>
    </xf>
    <xf numFmtId="3" fontId="0" fillId="8" borderId="58" xfId="0" applyNumberFormat="1" applyFill="1" applyBorder="1"/>
    <xf numFmtId="0" fontId="2" fillId="22" borderId="48" xfId="0" applyFont="1" applyFill="1" applyBorder="1" applyAlignment="1">
      <alignment horizontal="center"/>
    </xf>
    <xf numFmtId="0" fontId="2" fillId="22" borderId="37" xfId="0" applyFont="1" applyFill="1" applyBorder="1" applyAlignment="1">
      <alignment horizontal="center"/>
    </xf>
    <xf numFmtId="0" fontId="0" fillId="22" borderId="58" xfId="0" applyFont="1" applyFill="1" applyBorder="1" applyAlignment="1">
      <alignment horizontal="right"/>
    </xf>
    <xf numFmtId="44" fontId="0" fillId="22" borderId="58" xfId="1" applyFont="1" applyFill="1" applyBorder="1"/>
    <xf numFmtId="44" fontId="0" fillId="22" borderId="63" xfId="0" applyNumberFormat="1" applyFill="1" applyBorder="1"/>
    <xf numFmtId="0" fontId="2" fillId="0" borderId="43" xfId="0" applyFont="1" applyBorder="1" applyAlignment="1">
      <alignment horizontal="center" vertical="center"/>
    </xf>
    <xf numFmtId="0" fontId="2" fillId="0" borderId="42" xfId="0" applyFont="1" applyBorder="1" applyAlignment="1">
      <alignment horizontal="center" vertical="center"/>
    </xf>
    <xf numFmtId="0" fontId="2" fillId="0" borderId="10" xfId="0" applyFont="1" applyBorder="1" applyAlignment="1">
      <alignment horizontal="center" vertical="center"/>
    </xf>
    <xf numFmtId="0" fontId="5" fillId="0" borderId="43" xfId="0" applyFont="1" applyBorder="1" applyAlignment="1">
      <alignment vertical="center"/>
    </xf>
    <xf numFmtId="0" fontId="2" fillId="22" borderId="41" xfId="0" applyFont="1" applyFill="1" applyBorder="1" applyAlignment="1">
      <alignment horizontal="center"/>
    </xf>
    <xf numFmtId="0" fontId="2" fillId="22" borderId="23" xfId="0" applyFont="1" applyFill="1" applyBorder="1" applyAlignment="1">
      <alignment horizontal="center"/>
    </xf>
    <xf numFmtId="0" fontId="2" fillId="22" borderId="24" xfId="0" applyFont="1" applyFill="1" applyBorder="1" applyAlignment="1">
      <alignment horizontal="center"/>
    </xf>
    <xf numFmtId="0" fontId="0" fillId="22" borderId="49" xfId="0" applyFont="1" applyFill="1" applyBorder="1" applyAlignment="1">
      <alignment horizontal="right"/>
    </xf>
    <xf numFmtId="44" fontId="0" fillId="22" borderId="6" xfId="0" applyNumberFormat="1" applyFont="1" applyFill="1" applyBorder="1" applyAlignment="1">
      <alignment horizontal="right"/>
    </xf>
    <xf numFmtId="44" fontId="0" fillId="22" borderId="64" xfId="0" applyNumberFormat="1" applyFill="1" applyBorder="1"/>
    <xf numFmtId="0" fontId="2" fillId="22" borderId="34" xfId="0" applyFont="1" applyFill="1" applyBorder="1" applyAlignment="1">
      <alignment horizontal="center"/>
    </xf>
    <xf numFmtId="3" fontId="0" fillId="22" borderId="51" xfId="0" applyNumberFormat="1" applyFont="1" applyFill="1" applyBorder="1" applyAlignment="1">
      <alignment horizontal="right"/>
    </xf>
    <xf numFmtId="44" fontId="0" fillId="22" borderId="51" xfId="1" applyFont="1" applyFill="1" applyBorder="1"/>
    <xf numFmtId="3" fontId="0" fillId="22" borderId="51" xfId="0" applyNumberFormat="1" applyFill="1" applyBorder="1"/>
    <xf numFmtId="3" fontId="0" fillId="22" borderId="52" xfId="0" applyNumberFormat="1" applyFill="1" applyBorder="1"/>
    <xf numFmtId="44" fontId="0" fillId="22" borderId="52" xfId="1" applyFont="1" applyFill="1" applyBorder="1"/>
    <xf numFmtId="44" fontId="0" fillId="22" borderId="66" xfId="0" applyNumberFormat="1" applyFill="1" applyBorder="1"/>
    <xf numFmtId="165" fontId="0" fillId="0" borderId="54" xfId="0" applyNumberFormat="1" applyFont="1" applyFill="1" applyBorder="1" applyAlignment="1">
      <alignment horizontal="center"/>
    </xf>
    <xf numFmtId="10" fontId="0" fillId="0" borderId="0" xfId="0" applyNumberFormat="1" applyFill="1" applyBorder="1"/>
    <xf numFmtId="3" fontId="0" fillId="4" borderId="51" xfId="0" applyNumberFormat="1" applyFont="1" applyFill="1" applyBorder="1" applyAlignment="1">
      <alignment vertical="center"/>
    </xf>
    <xf numFmtId="0" fontId="2" fillId="2" borderId="55" xfId="0" applyFont="1" applyFill="1" applyBorder="1" applyAlignment="1">
      <alignment horizontal="center"/>
    </xf>
    <xf numFmtId="44" fontId="0" fillId="3" borderId="25" xfId="1" applyFont="1" applyFill="1" applyBorder="1"/>
    <xf numFmtId="44" fontId="0" fillId="0" borderId="2" xfId="1" applyFont="1" applyBorder="1"/>
    <xf numFmtId="44" fontId="14" fillId="0" borderId="0" xfId="4" applyNumberFormat="1" applyBorder="1"/>
    <xf numFmtId="2" fontId="0" fillId="0" borderId="1" xfId="0" applyNumberFormat="1" applyBorder="1"/>
    <xf numFmtId="0" fontId="4" fillId="10" borderId="64" xfId="0" applyFont="1" applyFill="1" applyBorder="1"/>
    <xf numFmtId="0" fontId="9" fillId="10" borderId="28" xfId="0" applyFont="1" applyFill="1" applyBorder="1" applyAlignment="1">
      <alignment horizontal="center"/>
    </xf>
    <xf numFmtId="0" fontId="9" fillId="10" borderId="8" xfId="0" applyFont="1" applyFill="1" applyBorder="1"/>
    <xf numFmtId="165" fontId="0" fillId="0" borderId="54" xfId="0" applyNumberFormat="1" applyBorder="1"/>
    <xf numFmtId="165" fontId="0" fillId="0" borderId="103" xfId="0" applyNumberFormat="1" applyBorder="1"/>
    <xf numFmtId="165" fontId="0" fillId="0" borderId="42" xfId="0" applyNumberFormat="1" applyBorder="1"/>
    <xf numFmtId="165" fontId="1" fillId="0" borderId="43" xfId="1" applyNumberFormat="1" applyFont="1" applyFill="1" applyBorder="1" applyAlignment="1">
      <alignment horizontal="center" vertical="center"/>
    </xf>
    <xf numFmtId="165" fontId="0" fillId="0" borderId="43" xfId="0" applyNumberFormat="1" applyFont="1" applyFill="1" applyBorder="1" applyAlignment="1">
      <alignment horizontal="center" vertical="center"/>
    </xf>
    <xf numFmtId="0" fontId="4" fillId="10" borderId="66" xfId="0" applyFont="1" applyFill="1" applyBorder="1"/>
    <xf numFmtId="165" fontId="0" fillId="0" borderId="44" xfId="0" applyNumberFormat="1" applyFont="1" applyFill="1" applyBorder="1" applyAlignment="1">
      <alignment horizontal="center" vertical="center"/>
    </xf>
    <xf numFmtId="0" fontId="4" fillId="10" borderId="11" xfId="0" applyFont="1" applyFill="1" applyBorder="1" applyAlignment="1">
      <alignment horizontal="center"/>
    </xf>
    <xf numFmtId="0" fontId="4" fillId="10" borderId="59" xfId="0" applyFont="1" applyFill="1" applyBorder="1" applyAlignment="1">
      <alignment horizontal="center"/>
    </xf>
    <xf numFmtId="0" fontId="9" fillId="0" borderId="0" xfId="0" applyFont="1" applyFill="1" applyBorder="1" applyAlignment="1">
      <alignment horizontal="center" vertical="center" wrapText="1"/>
    </xf>
    <xf numFmtId="0" fontId="16" fillId="0" borderId="86" xfId="0" applyFont="1" applyBorder="1" applyAlignment="1">
      <alignment horizontal="left" vertical="top" wrapText="1"/>
    </xf>
    <xf numFmtId="0" fontId="16" fillId="0" borderId="87" xfId="0" applyFont="1" applyBorder="1" applyAlignment="1">
      <alignment horizontal="left" vertical="top" wrapText="1"/>
    </xf>
    <xf numFmtId="0" fontId="16" fillId="0" borderId="78" xfId="0" applyFont="1" applyBorder="1" applyAlignment="1">
      <alignment horizontal="left" vertical="top" wrapText="1"/>
    </xf>
    <xf numFmtId="0" fontId="16" fillId="0" borderId="80" xfId="0" applyFont="1" applyBorder="1" applyAlignment="1">
      <alignment horizontal="left" vertical="top" wrapText="1"/>
    </xf>
    <xf numFmtId="0" fontId="16" fillId="0" borderId="0" xfId="0" applyFont="1" applyBorder="1" applyAlignment="1">
      <alignment horizontal="left" vertical="top" wrapText="1"/>
    </xf>
    <xf numFmtId="0" fontId="16" fillId="0" borderId="88" xfId="0" applyFont="1" applyBorder="1" applyAlignment="1">
      <alignment horizontal="left" vertical="top" wrapText="1"/>
    </xf>
    <xf numFmtId="0" fontId="16" fillId="0" borderId="82" xfId="0" applyFont="1" applyBorder="1" applyAlignment="1">
      <alignment horizontal="left" vertical="top" wrapText="1"/>
    </xf>
    <xf numFmtId="0" fontId="16" fillId="0" borderId="85" xfId="0" applyFont="1" applyBorder="1" applyAlignment="1">
      <alignment horizontal="left" vertical="top" wrapText="1"/>
    </xf>
    <xf numFmtId="0" fontId="16" fillId="0" borderId="89" xfId="0" applyFont="1" applyBorder="1" applyAlignment="1">
      <alignment horizontal="left" vertical="top" wrapText="1"/>
    </xf>
    <xf numFmtId="0" fontId="16" fillId="0" borderId="4" xfId="0" applyFont="1" applyBorder="1" applyAlignment="1">
      <alignment horizontal="left" vertical="center" wrapText="1"/>
    </xf>
    <xf numFmtId="0" fontId="16" fillId="0" borderId="5" xfId="0" applyFont="1" applyBorder="1" applyAlignment="1">
      <alignment horizontal="left" vertical="center" wrapText="1"/>
    </xf>
    <xf numFmtId="0" fontId="16" fillId="0" borderId="28" xfId="0" applyFont="1" applyBorder="1" applyAlignment="1">
      <alignment horizontal="left" vertical="center" wrapText="1"/>
    </xf>
    <xf numFmtId="0" fontId="16" fillId="0" borderId="8" xfId="0" applyFont="1" applyBorder="1" applyAlignment="1">
      <alignment horizontal="left" vertical="center" wrapText="1"/>
    </xf>
    <xf numFmtId="0" fontId="16" fillId="0" borderId="0" xfId="0" applyFont="1" applyBorder="1" applyAlignment="1">
      <alignment horizontal="left" vertical="center" wrapText="1"/>
    </xf>
    <xf numFmtId="0" fontId="16" fillId="0" borderId="10" xfId="0" applyFont="1" applyBorder="1" applyAlignment="1">
      <alignment horizontal="left" vertical="center" wrapText="1"/>
    </xf>
    <xf numFmtId="0" fontId="14" fillId="19" borderId="1" xfId="4" applyFill="1" applyBorder="1" applyAlignment="1">
      <alignment horizontal="left"/>
    </xf>
    <xf numFmtId="0" fontId="0" fillId="19" borderId="1" xfId="0" applyFill="1" applyBorder="1" applyAlignment="1">
      <alignment horizontal="left"/>
    </xf>
    <xf numFmtId="0" fontId="14" fillId="19" borderId="1" xfId="4" applyFill="1" applyBorder="1"/>
    <xf numFmtId="0" fontId="0" fillId="19" borderId="1" xfId="0" applyFill="1" applyBorder="1"/>
    <xf numFmtId="0" fontId="17" fillId="19" borderId="1" xfId="0" applyFont="1" applyFill="1" applyBorder="1"/>
    <xf numFmtId="0" fontId="14" fillId="0" borderId="87" xfId="4" applyBorder="1" applyAlignment="1">
      <alignment horizontal="left"/>
    </xf>
    <xf numFmtId="0" fontId="0" fillId="0" borderId="0" xfId="0" applyAlignment="1">
      <alignment horizontal="center"/>
    </xf>
    <xf numFmtId="0" fontId="2" fillId="22" borderId="16" xfId="0" applyFont="1" applyFill="1" applyBorder="1" applyAlignment="1">
      <alignment horizontal="center" vertical="center" wrapText="1"/>
    </xf>
    <xf numFmtId="0" fontId="2" fillId="22" borderId="18" xfId="0" applyFont="1" applyFill="1" applyBorder="1" applyAlignment="1">
      <alignment horizontal="center" vertical="center" wrapText="1"/>
    </xf>
    <xf numFmtId="0" fontId="4" fillId="19" borderId="1" xfId="0" applyFont="1" applyFill="1" applyBorder="1"/>
    <xf numFmtId="0" fontId="2" fillId="2" borderId="16"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3" fillId="0" borderId="4" xfId="0" applyFont="1" applyBorder="1" applyAlignment="1">
      <alignment horizontal="center"/>
    </xf>
    <xf numFmtId="0" fontId="13" fillId="0" borderId="5" xfId="0" applyFont="1" applyBorder="1" applyAlignment="1">
      <alignment horizontal="center"/>
    </xf>
    <xf numFmtId="0" fontId="13" fillId="0" borderId="28" xfId="0" applyFont="1" applyBorder="1" applyAlignment="1">
      <alignment horizontal="center"/>
    </xf>
    <xf numFmtId="0" fontId="13" fillId="0" borderId="11" xfId="0" applyFont="1" applyBorder="1" applyAlignment="1">
      <alignment horizontal="center"/>
    </xf>
    <xf numFmtId="0" fontId="13" fillId="0" borderId="30" xfId="0" applyFont="1" applyBorder="1" applyAlignment="1">
      <alignment horizontal="center"/>
    </xf>
    <xf numFmtId="0" fontId="13" fillId="0" borderId="59" xfId="0" applyFont="1" applyBorder="1" applyAlignment="1">
      <alignment horizontal="center"/>
    </xf>
    <xf numFmtId="0" fontId="4" fillId="10" borderId="16" xfId="0" applyFont="1" applyFill="1" applyBorder="1" applyAlignment="1">
      <alignment horizontal="center" vertical="center" wrapText="1"/>
    </xf>
    <xf numFmtId="0" fontId="4" fillId="10" borderId="18" xfId="0" applyFont="1" applyFill="1" applyBorder="1" applyAlignment="1">
      <alignment horizontal="center" vertical="center" wrapText="1"/>
    </xf>
    <xf numFmtId="0" fontId="2" fillId="22" borderId="5" xfId="0" applyFont="1" applyFill="1" applyBorder="1" applyAlignment="1">
      <alignment horizontal="center" vertical="center" wrapText="1"/>
    </xf>
    <xf numFmtId="0" fontId="2" fillId="22" borderId="30" xfId="0" applyFont="1" applyFill="1" applyBorder="1" applyAlignment="1">
      <alignment horizontal="center" vertical="center" wrapText="1"/>
    </xf>
    <xf numFmtId="0" fontId="9" fillId="10" borderId="97" xfId="0" applyFont="1" applyFill="1" applyBorder="1" applyAlignment="1">
      <alignment horizontal="center" vertical="center"/>
    </xf>
    <xf numFmtId="0" fontId="9" fillId="10" borderId="102" xfId="0" applyFont="1" applyFill="1" applyBorder="1" applyAlignment="1">
      <alignment horizontal="center" vertical="center"/>
    </xf>
    <xf numFmtId="0" fontId="4" fillId="10" borderId="96" xfId="0" applyFont="1" applyFill="1" applyBorder="1" applyAlignment="1">
      <alignment horizontal="center" vertical="center"/>
    </xf>
    <xf numFmtId="0" fontId="4" fillId="10" borderId="101" xfId="0" applyFont="1" applyFill="1" applyBorder="1" applyAlignment="1">
      <alignment horizontal="center" vertical="center"/>
    </xf>
    <xf numFmtId="0" fontId="16" fillId="0" borderId="4" xfId="0" applyFont="1" applyBorder="1" applyAlignment="1">
      <alignment horizontal="left" vertical="top" wrapText="1"/>
    </xf>
    <xf numFmtId="0" fontId="16" fillId="0" borderId="5" xfId="0" applyFont="1" applyBorder="1" applyAlignment="1">
      <alignment horizontal="left" vertical="top" wrapText="1"/>
    </xf>
    <xf numFmtId="0" fontId="16" fillId="0" borderId="28" xfId="0" applyFont="1" applyBorder="1" applyAlignment="1">
      <alignment horizontal="left" vertical="top" wrapText="1"/>
    </xf>
    <xf numFmtId="0" fontId="16" fillId="0" borderId="8" xfId="0" applyFont="1" applyBorder="1" applyAlignment="1">
      <alignment horizontal="left" vertical="top" wrapText="1"/>
    </xf>
    <xf numFmtId="0" fontId="16" fillId="0" borderId="10" xfId="0" applyFont="1" applyBorder="1" applyAlignment="1">
      <alignment horizontal="left" vertical="top" wrapText="1"/>
    </xf>
    <xf numFmtId="0" fontId="16" fillId="0" borderId="11" xfId="0" applyFont="1" applyBorder="1" applyAlignment="1">
      <alignment horizontal="left" vertical="top" wrapText="1"/>
    </xf>
    <xf numFmtId="0" fontId="16" fillId="0" borderId="30" xfId="0" applyFont="1" applyBorder="1" applyAlignment="1">
      <alignment horizontal="left" vertical="top" wrapText="1"/>
    </xf>
    <xf numFmtId="0" fontId="16" fillId="0" borderId="59" xfId="0" applyFont="1" applyBorder="1" applyAlignment="1">
      <alignment horizontal="left" vertical="top" wrapText="1"/>
    </xf>
    <xf numFmtId="0" fontId="14" fillId="19" borderId="25" xfId="4" applyFill="1" applyBorder="1"/>
    <xf numFmtId="0" fontId="17" fillId="19" borderId="56" xfId="0" applyFont="1" applyFill="1" applyBorder="1"/>
    <xf numFmtId="0" fontId="17" fillId="19" borderId="14" xfId="0" applyFont="1" applyFill="1" applyBorder="1"/>
    <xf numFmtId="0" fontId="16" fillId="0" borderId="0" xfId="0" applyFont="1" applyFill="1" applyBorder="1" applyAlignment="1">
      <alignment horizontal="center" vertical="center" wrapText="1"/>
    </xf>
    <xf numFmtId="0" fontId="2" fillId="22" borderId="4" xfId="0" applyFont="1" applyFill="1" applyBorder="1" applyAlignment="1">
      <alignment horizontal="center" vertical="center" wrapText="1"/>
    </xf>
    <xf numFmtId="0" fontId="2" fillId="22" borderId="11" xfId="0" applyFont="1" applyFill="1" applyBorder="1" applyAlignment="1">
      <alignment horizontal="center" vertical="center" wrapText="1"/>
    </xf>
    <xf numFmtId="0" fontId="2" fillId="22" borderId="29" xfId="0" applyFont="1" applyFill="1" applyBorder="1" applyAlignment="1">
      <alignment horizontal="center" vertical="center" wrapText="1"/>
    </xf>
    <xf numFmtId="0" fontId="2" fillId="22" borderId="93" xfId="0" applyFont="1" applyFill="1" applyBorder="1" applyAlignment="1">
      <alignment horizontal="center" vertical="center" wrapText="1"/>
    </xf>
    <xf numFmtId="171" fontId="0" fillId="0" borderId="0" xfId="0" applyNumberFormat="1" applyBorder="1" applyAlignment="1">
      <alignment horizontal="center"/>
    </xf>
    <xf numFmtId="0" fontId="0" fillId="0" borderId="0" xfId="0" applyBorder="1" applyAlignment="1">
      <alignment horizontal="center"/>
    </xf>
  </cellXfs>
  <cellStyles count="5">
    <cellStyle name="Lien hypertexte" xfId="4" builtinId="8"/>
    <cellStyle name="Milliers" xfId="3" builtinId="3"/>
    <cellStyle name="Monétaire" xfId="1" builtinId="4"/>
    <cellStyle name="Normal" xfId="0" builtinId="0"/>
    <cellStyle name="Pourcentag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Redevances minières de 2014 à 2023</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plotArea>
      <c:layout/>
      <c:lineChart>
        <c:grouping val="standard"/>
        <c:varyColors val="0"/>
        <c:ser>
          <c:idx val="0"/>
          <c:order val="0"/>
          <c:spPr>
            <a:ln w="34925" cap="rnd">
              <a:solidFill>
                <a:schemeClr val="accent1"/>
              </a:solidFill>
              <a:round/>
            </a:ln>
            <a:effectLst>
              <a:outerShdw blurRad="57150" dist="19050" dir="5400000" algn="ctr" rotWithShape="0">
                <a:srgbClr val="000000">
                  <a:alpha val="63000"/>
                </a:srgbClr>
              </a:outerShdw>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lt1">
                          <a:lumMod val="95000"/>
                          <a:alpha val="54000"/>
                        </a:schemeClr>
                      </a:solidFill>
                    </a:ln>
                    <a:effectLst/>
                  </c:spPr>
                </c15:leaderLines>
              </c:ext>
            </c:extLst>
          </c:dLbls>
          <c:cat>
            <c:numRef>
              <c:f>Feuil2!$B$3:$B$12</c:f>
              <c:numCache>
                <c:formatCode>General</c:formatCode>
                <c:ptCount val="10"/>
                <c:pt idx="0">
                  <c:v>2014</c:v>
                </c:pt>
                <c:pt idx="1">
                  <c:v>2015</c:v>
                </c:pt>
                <c:pt idx="2">
                  <c:v>2016</c:v>
                </c:pt>
                <c:pt idx="3">
                  <c:v>2017</c:v>
                </c:pt>
                <c:pt idx="4">
                  <c:v>2018</c:v>
                </c:pt>
                <c:pt idx="5">
                  <c:v>2019</c:v>
                </c:pt>
                <c:pt idx="6">
                  <c:v>2020</c:v>
                </c:pt>
                <c:pt idx="7">
                  <c:v>2021</c:v>
                </c:pt>
                <c:pt idx="8">
                  <c:v>2022</c:v>
                </c:pt>
                <c:pt idx="9">
                  <c:v>2023</c:v>
                </c:pt>
              </c:numCache>
            </c:numRef>
          </c:cat>
          <c:val>
            <c:numRef>
              <c:f>Feuil2!$C$3:$C$12</c:f>
              <c:numCache>
                <c:formatCode>_ * #\ ##0_)\ "$"_ ;_ * \(#\ ##0\)\ "$"_ ;_ * "-"??_)\ "$"_ ;_ @_ </c:formatCode>
                <c:ptCount val="10"/>
                <c:pt idx="0">
                  <c:v>121134901</c:v>
                </c:pt>
                <c:pt idx="1">
                  <c:v>97464757.166900009</c:v>
                </c:pt>
                <c:pt idx="2">
                  <c:v>105971460</c:v>
                </c:pt>
                <c:pt idx="3">
                  <c:v>220619028</c:v>
                </c:pt>
                <c:pt idx="4">
                  <c:v>287016811</c:v>
                </c:pt>
                <c:pt idx="5">
                  <c:v>387419082.38</c:v>
                </c:pt>
                <c:pt idx="6">
                  <c:v>631679364</c:v>
                </c:pt>
                <c:pt idx="7">
                  <c:v>939879977</c:v>
                </c:pt>
                <c:pt idx="8">
                  <c:v>560943894</c:v>
                </c:pt>
                <c:pt idx="9">
                  <c:v>431190102</c:v>
                </c:pt>
              </c:numCache>
            </c:numRef>
          </c:val>
          <c:smooth val="0"/>
        </c:ser>
        <c:dLbls>
          <c:dLblPos val="ctr"/>
          <c:showLegendKey val="0"/>
          <c:showVal val="1"/>
          <c:showCatName val="0"/>
          <c:showSerName val="0"/>
          <c:showPercent val="0"/>
          <c:showBubbleSize val="0"/>
        </c:dLbls>
        <c:smooth val="0"/>
        <c:axId val="254389696"/>
        <c:axId val="254390088"/>
      </c:lineChart>
      <c:catAx>
        <c:axId val="254389696"/>
        <c:scaling>
          <c:orientation val="minMax"/>
        </c:scaling>
        <c:delete val="0"/>
        <c:axPos val="b"/>
        <c:numFmt formatCode="General" sourceLinked="1"/>
        <c:majorTickMark val="none"/>
        <c:minorTickMark val="none"/>
        <c:tickLblPos val="nextTo"/>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crossAx val="254390088"/>
        <c:crosses val="autoZero"/>
        <c:auto val="1"/>
        <c:lblAlgn val="ctr"/>
        <c:lblOffset val="100"/>
        <c:noMultiLvlLbl val="0"/>
      </c:catAx>
      <c:valAx>
        <c:axId val="254390088"/>
        <c:scaling>
          <c:orientation val="minMax"/>
        </c:scaling>
        <c:delete val="0"/>
        <c:axPos val="l"/>
        <c:majorGridlines>
          <c:spPr>
            <a:ln w="9525" cap="flat" cmpd="sng" algn="ctr">
              <a:solidFill>
                <a:schemeClr val="lt1">
                  <a:lumMod val="95000"/>
                  <a:alpha val="10000"/>
                </a:schemeClr>
              </a:solidFill>
              <a:round/>
            </a:ln>
            <a:effectLst/>
          </c:spPr>
        </c:majorGridlines>
        <c:numFmt formatCode="_ * #\ ##0_)\ &quot;$&quot;_ ;_ * \(#\ ##0\)\ &quot;$&quot;_ ;_ * &quot;-&quot;??_)\ &quot;$&quot;_ ;_ @_ "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crossAx val="254389696"/>
        <c:crosses val="autoZero"/>
        <c:crossBetween val="between"/>
      </c:valAx>
      <c:spPr>
        <a:noFill/>
        <a:ln>
          <a:noFill/>
        </a:ln>
        <a:effectLst/>
      </c:spPr>
    </c:plotArea>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100" b="1" i="0" u="none" strike="noStrike" kern="1200" cap="none" baseline="0">
                <a:solidFill>
                  <a:schemeClr val="lt1">
                    <a:lumMod val="85000"/>
                  </a:schemeClr>
                </a:solidFill>
                <a:latin typeface="+mn-lt"/>
                <a:ea typeface="+mn-ea"/>
                <a:cs typeface="+mn-cs"/>
              </a:defRPr>
            </a:pPr>
            <a:r>
              <a:rPr lang="fr-CA" sz="1100"/>
              <a:t>Redevances</a:t>
            </a:r>
            <a:r>
              <a:rPr lang="fr-CA" sz="1100" baseline="0"/>
              <a:t> minières au Québec</a:t>
            </a:r>
          </a:p>
          <a:p>
            <a:pPr>
              <a:defRPr sz="1100"/>
            </a:pPr>
            <a:r>
              <a:rPr lang="fr-CA" sz="1100" baseline="0"/>
              <a:t>2014-2023</a:t>
            </a:r>
            <a:endParaRPr lang="fr-CA" sz="1100"/>
          </a:p>
        </c:rich>
      </c:tx>
      <c:layout>
        <c:manualLayout>
          <c:xMode val="edge"/>
          <c:yMode val="edge"/>
          <c:x val="0.22511843630530909"/>
          <c:y val="2.3730067677405611E-2"/>
        </c:manualLayout>
      </c:layout>
      <c:overlay val="0"/>
      <c:spPr>
        <a:noFill/>
        <a:ln>
          <a:noFill/>
        </a:ln>
        <a:effectLst/>
      </c:spPr>
      <c:txPr>
        <a:bodyPr rot="0" spcFirstLastPara="1" vertOverflow="ellipsis" vert="horz" wrap="square" anchor="ctr" anchorCtr="1"/>
        <a:lstStyle/>
        <a:p>
          <a:pPr>
            <a:defRPr sz="1100" b="1" i="0" u="none" strike="noStrike" kern="1200" cap="none" baseline="0">
              <a:solidFill>
                <a:schemeClr val="lt1">
                  <a:lumMod val="85000"/>
                </a:schemeClr>
              </a:solidFill>
              <a:latin typeface="+mn-lt"/>
              <a:ea typeface="+mn-ea"/>
              <a:cs typeface="+mn-cs"/>
            </a:defRPr>
          </a:pPr>
          <a:endParaRPr lang="fr-FR"/>
        </a:p>
      </c:txPr>
    </c:title>
    <c:autoTitleDeleted val="0"/>
    <c:plotArea>
      <c:layout/>
      <c:scatterChart>
        <c:scatterStyle val="lineMarker"/>
        <c:varyColors val="0"/>
        <c:ser>
          <c:idx val="0"/>
          <c:order val="0"/>
          <c:spPr>
            <a:ln w="22225" cap="rnd">
              <a:solidFill>
                <a:schemeClr val="accent2"/>
              </a:solidFill>
            </a:ln>
            <a:effectLst>
              <a:glow rad="139700">
                <a:schemeClr val="accent2">
                  <a:satMod val="175000"/>
                  <a:alpha val="14000"/>
                </a:schemeClr>
              </a:glow>
            </a:effectLst>
          </c:spPr>
          <c:marker>
            <c:symbol val="circle"/>
            <c:size val="3"/>
            <c:spPr>
              <a:solidFill>
                <a:schemeClr val="accent2">
                  <a:lumMod val="60000"/>
                  <a:lumOff val="40000"/>
                </a:schemeClr>
              </a:solidFill>
              <a:ln>
                <a:noFill/>
              </a:ln>
              <a:effectLst>
                <a:glow rad="63500">
                  <a:schemeClr val="accent2">
                    <a:satMod val="175000"/>
                    <a:alpha val="25000"/>
                  </a:schemeClr>
                </a:glow>
              </a:effectLst>
            </c:spPr>
          </c:marker>
          <c:xVal>
            <c:numRef>
              <c:f>Feuil2!$B$3:$B$12</c:f>
              <c:numCache>
                <c:formatCode>General</c:formatCode>
                <c:ptCount val="10"/>
                <c:pt idx="0">
                  <c:v>2014</c:v>
                </c:pt>
                <c:pt idx="1">
                  <c:v>2015</c:v>
                </c:pt>
                <c:pt idx="2">
                  <c:v>2016</c:v>
                </c:pt>
                <c:pt idx="3">
                  <c:v>2017</c:v>
                </c:pt>
                <c:pt idx="4">
                  <c:v>2018</c:v>
                </c:pt>
                <c:pt idx="5">
                  <c:v>2019</c:v>
                </c:pt>
                <c:pt idx="6">
                  <c:v>2020</c:v>
                </c:pt>
                <c:pt idx="7">
                  <c:v>2021</c:v>
                </c:pt>
                <c:pt idx="8">
                  <c:v>2022</c:v>
                </c:pt>
                <c:pt idx="9">
                  <c:v>2023</c:v>
                </c:pt>
              </c:numCache>
            </c:numRef>
          </c:xVal>
          <c:yVal>
            <c:numRef>
              <c:f>Feuil2!$C$3:$C$12</c:f>
              <c:numCache>
                <c:formatCode>_ * #\ ##0_)\ "$"_ ;_ * \(#\ ##0\)\ "$"_ ;_ * "-"??_)\ "$"_ ;_ @_ </c:formatCode>
                <c:ptCount val="10"/>
                <c:pt idx="0">
                  <c:v>121134901</c:v>
                </c:pt>
                <c:pt idx="1">
                  <c:v>97464757.166900009</c:v>
                </c:pt>
                <c:pt idx="2">
                  <c:v>105971460</c:v>
                </c:pt>
                <c:pt idx="3">
                  <c:v>220619028</c:v>
                </c:pt>
                <c:pt idx="4">
                  <c:v>287016811</c:v>
                </c:pt>
                <c:pt idx="5">
                  <c:v>387419082.38</c:v>
                </c:pt>
                <c:pt idx="6">
                  <c:v>631679364</c:v>
                </c:pt>
                <c:pt idx="7">
                  <c:v>939879977</c:v>
                </c:pt>
                <c:pt idx="8">
                  <c:v>560943894</c:v>
                </c:pt>
                <c:pt idx="9">
                  <c:v>431190102</c:v>
                </c:pt>
              </c:numCache>
            </c:numRef>
          </c:yVal>
          <c:smooth val="0"/>
        </c:ser>
        <c:dLbls>
          <c:showLegendKey val="0"/>
          <c:showVal val="0"/>
          <c:showCatName val="0"/>
          <c:showSerName val="0"/>
          <c:showPercent val="0"/>
          <c:showBubbleSize val="0"/>
        </c:dLbls>
        <c:axId val="254393616"/>
        <c:axId val="254386168"/>
      </c:scatterChart>
      <c:valAx>
        <c:axId val="254393616"/>
        <c:scaling>
          <c:orientation val="minMax"/>
        </c:scaling>
        <c:delete val="0"/>
        <c:axPos val="b"/>
        <c:majorGridlines>
          <c:spPr>
            <a:ln w="9525" cap="flat" cmpd="sng" algn="ctr">
              <a:solidFill>
                <a:schemeClr val="dk1">
                  <a:lumMod val="65000"/>
                  <a:lumOff val="35000"/>
                  <a:alpha val="75000"/>
                </a:schemeClr>
              </a:solidFill>
              <a:round/>
            </a:ln>
            <a:effectLst/>
          </c:spPr>
        </c:majorGridlines>
        <c:numFmt formatCode="General" sourceLinked="1"/>
        <c:majorTickMark val="none"/>
        <c:minorTickMark val="none"/>
        <c:tickLblPos val="nextTo"/>
        <c:spPr>
          <a:noFill/>
          <a:ln w="9525" cap="flat" cmpd="sng" algn="ctr">
            <a:noFill/>
            <a:round/>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fr-FR"/>
          </a:p>
        </c:txPr>
        <c:crossAx val="254386168"/>
        <c:crosses val="autoZero"/>
        <c:crossBetween val="midCat"/>
      </c:valAx>
      <c:valAx>
        <c:axId val="254386168"/>
        <c:scaling>
          <c:orientation val="minMax"/>
        </c:scaling>
        <c:delete val="0"/>
        <c:axPos val="l"/>
        <c:majorGridlines>
          <c:spPr>
            <a:ln w="9525" cap="flat" cmpd="sng" algn="ctr">
              <a:solidFill>
                <a:schemeClr val="dk1">
                  <a:lumMod val="65000"/>
                  <a:lumOff val="35000"/>
                  <a:alpha val="75000"/>
                </a:schemeClr>
              </a:solidFill>
              <a:round/>
            </a:ln>
            <a:effectLst/>
          </c:spPr>
        </c:majorGridlines>
        <c:numFmt formatCode="_ * #\ ##0_)\ &quot;$&quot;_ ;_ * \(#\ ##0\)\ &quot;$&quot;_ ;_ * &quot;-&quot;??_)\ &quot;$&quot;_ ;_ @_ " sourceLinked="1"/>
        <c:majorTickMark val="none"/>
        <c:minorTickMark val="none"/>
        <c:tickLblPos val="nextTo"/>
        <c:spPr>
          <a:noFill/>
          <a:ln w="9525" cap="flat" cmpd="sng" algn="ctr">
            <a:solidFill>
              <a:schemeClr val="lt1">
                <a:lumMod val="50000"/>
              </a:schemeClr>
            </a:solidFill>
            <a:round/>
          </a:ln>
          <a:effectLst/>
        </c:spPr>
        <c:txPr>
          <a:bodyPr rot="-60000000" spcFirstLastPara="1" vertOverflow="ellipsis" vert="horz" wrap="square" anchor="ctr" anchorCtr="1"/>
          <a:lstStyle/>
          <a:p>
            <a:pPr>
              <a:defRPr sz="900" b="0" i="0" u="none" strike="noStrike" kern="1200" baseline="0">
                <a:solidFill>
                  <a:schemeClr val="lt1">
                    <a:lumMod val="75000"/>
                  </a:schemeClr>
                </a:solidFill>
                <a:latin typeface="+mn-lt"/>
                <a:ea typeface="+mn-ea"/>
                <a:cs typeface="+mn-cs"/>
              </a:defRPr>
            </a:pPr>
            <a:endParaRPr lang="fr-FR"/>
          </a:p>
        </c:txPr>
        <c:crossAx val="254393616"/>
        <c:crosses val="autoZero"/>
        <c:crossBetween val="midCat"/>
      </c:valAx>
      <c:spPr>
        <a:noFill/>
        <a:ln>
          <a:noFill/>
        </a:ln>
        <a:effectLst/>
      </c:spPr>
    </c:plotArea>
    <c:plotVisOnly val="1"/>
    <c:dispBlanksAs val="gap"/>
    <c:showDLblsOverMax val="0"/>
  </c:chart>
  <c:spPr>
    <a:solidFill>
      <a:schemeClr val="dk1">
        <a:lumMod val="75000"/>
        <a:lumOff val="25000"/>
      </a:schemeClr>
    </a:solidFill>
    <a:ln w="9525" cap="flat" cmpd="sng" algn="ctr">
      <a:solidFill>
        <a:schemeClr val="dk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45">
  <cs:axisTitle>
    <cs:lnRef idx="0"/>
    <cs:fillRef idx="0"/>
    <cs:effectRef idx="0"/>
    <cs:fontRef idx="minor">
      <a:schemeClr val="lt1">
        <a:lumMod val="75000"/>
      </a:schemeClr>
    </cs:fontRef>
    <cs:defRPr sz="900" b="1" kern="1200"/>
  </cs:axisTitle>
  <cs:categoryAxis>
    <cs:lnRef idx="0"/>
    <cs:fillRef idx="0"/>
    <cs:effectRef idx="0"/>
    <cs:fontRef idx="minor">
      <a:schemeClr val="lt1">
        <a:lumMod val="75000"/>
      </a:schemeClr>
    </cs:fontRef>
    <cs:defRPr sz="900" kern="1200"/>
  </cs:categoryAxis>
  <cs:chartArea>
    <cs:lnRef idx="0"/>
    <cs:fillRef idx="0"/>
    <cs:effectRef idx="0"/>
    <cs:fontRef idx="minor">
      <a:schemeClr val="dk1"/>
    </cs:fontRef>
    <cs:spPr>
      <a:solidFill>
        <a:schemeClr val="dk1">
          <a:lumMod val="75000"/>
          <a:lumOff val="25000"/>
        </a:schemeClr>
      </a:solidFill>
      <a:ln w="9525" cap="flat" cmpd="sng" algn="ctr">
        <a:solidFill>
          <a:schemeClr val="dk1">
            <a:lumMod val="15000"/>
            <a:lumOff val="85000"/>
          </a:schemeClr>
        </a:solidFill>
        <a:round/>
      </a:ln>
    </cs:spPr>
    <cs:defRPr sz="900" kern="1200"/>
  </cs:chartArea>
  <cs:dataLabel>
    <cs:lnRef idx="0"/>
    <cs:fillRef idx="0"/>
    <cs:effectRef idx="0"/>
    <cs:fontRef idx="minor">
      <a:schemeClr val="lt1">
        <a:lumMod val="75000"/>
      </a:schemeClr>
    </cs:fontRef>
    <cs:defRPr sz="900" kern="1200"/>
  </cs:dataLabel>
  <cs:dataLabelCallout>
    <cs:lnRef idx="0"/>
    <cs:fillRef idx="0"/>
    <cs:effectRef idx="0"/>
    <cs:fontRef idx="minor">
      <a:schemeClr val="lt1">
        <a:lumMod val="15000"/>
        <a:lumOff val="85000"/>
      </a:schemeClr>
    </cs:fontRef>
    <cs:spPr>
      <a:solidFill>
        <a:schemeClr val="dk1">
          <a:lumMod val="65000"/>
          <a:lumOff val="35000"/>
        </a:schemeClr>
      </a:solidFill>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0"/>
    <cs:effectRef idx="0">
      <cs:styleClr val="auto"/>
    </cs:effectRef>
    <cs:fontRef idx="minor">
      <a:schemeClr val="dk1"/>
    </cs:fontRef>
    <cs:spPr>
      <a:ln w="9525" cap="flat" cmpd="sng" algn="ctr">
        <a:solidFill>
          <a:schemeClr val="phClr"/>
        </a:solidFill>
        <a:miter lim="800000"/>
      </a:ln>
      <a:effectLst>
        <a:glow rad="63500">
          <a:schemeClr val="phClr">
            <a:satMod val="175000"/>
            <a:alpha val="25000"/>
          </a:schemeClr>
        </a:glow>
      </a:effectLst>
    </cs:spPr>
  </cs:dataPoint>
  <cs:dataPoint3D>
    <cs:lnRef idx="0">
      <cs:styleClr val="auto"/>
    </cs:lnRef>
    <cs:fillRef idx="0">
      <cs:styleClr val="auto"/>
    </cs:fillRef>
    <cs:effectRef idx="0">
      <cs:styleClr val="auto"/>
    </cs:effectRef>
    <cs:fontRef idx="minor">
      <a:schemeClr val="dk1"/>
    </cs:fontRef>
    <cs:spPr>
      <a:ln w="9525" cap="flat" cmpd="sng" algn="ctr">
        <a:solidFill>
          <a:schemeClr val="phClr"/>
        </a:solidFill>
        <a:miter lim="800000"/>
      </a:ln>
      <a:effectLst>
        <a:glow rad="63500">
          <a:schemeClr val="phClr">
            <a:satMod val="175000"/>
            <a:alpha val="25000"/>
          </a:schemeClr>
        </a:glow>
      </a:effectLst>
    </cs:spPr>
  </cs:dataPoint3D>
  <cs:dataPointLine>
    <cs:lnRef idx="0">
      <cs:styleClr val="auto"/>
    </cs:lnRef>
    <cs:fillRef idx="0">
      <cs:styleClr val="auto"/>
    </cs:fillRef>
    <cs:effectRef idx="0">
      <cs:styleClr val="auto"/>
    </cs:effectRef>
    <cs:fontRef idx="minor">
      <a:schemeClr val="dk1"/>
    </cs:fontRef>
    <cs:spPr>
      <a:ln w="22225" cap="rnd">
        <a:solidFill>
          <a:schemeClr val="phClr"/>
        </a:solidFill>
      </a:ln>
      <a:effectLst>
        <a:glow rad="139700">
          <a:schemeClr val="phClr">
            <a:satMod val="175000"/>
            <a:alpha val="14000"/>
          </a:schemeClr>
        </a:glow>
      </a:effectLst>
    </cs:spPr>
  </cs:dataPointLine>
  <cs:dataPointMarker>
    <cs:lnRef idx="0">
      <cs:styleClr val="auto"/>
    </cs:lnRef>
    <cs:fillRef idx="0">
      <cs:styleClr val="auto"/>
    </cs:fillRef>
    <cs:effectRef idx="0">
      <cs:styleClr val="auto"/>
    </cs:effectRef>
    <cs:fontRef idx="minor">
      <a:schemeClr val="dk1"/>
    </cs:fontRef>
    <cs:spPr>
      <a:solidFill>
        <a:schemeClr val="phClr">
          <a:lumMod val="60000"/>
          <a:lumOff val="40000"/>
        </a:schemeClr>
      </a:solidFill>
      <a:effectLst>
        <a:glow rad="63500">
          <a:schemeClr val="phClr">
            <a:satMod val="175000"/>
            <a:alpha val="25000"/>
          </a:schemeClr>
        </a:glow>
      </a:effectLst>
    </cs:spPr>
  </cs:dataPointMarker>
  <cs:dataPointMarkerLayout symbol="circle" size="3"/>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lt1">
        <a:lumMod val="75000"/>
      </a:schemeClr>
    </cs:fontRef>
    <cs:spPr>
      <a:ln w="9525">
        <a:solidFill>
          <a:schemeClr val="dk1">
            <a:lumMod val="50000"/>
            <a:lumOff val="50000"/>
          </a:schemeClr>
        </a:solidFill>
      </a:ln>
    </cs:spPr>
    <cs:defRPr sz="900" kern="1200"/>
  </cs:dataTable>
  <cs:downBar>
    <cs:lnRef idx="0"/>
    <cs:fillRef idx="0"/>
    <cs:effectRef idx="0"/>
    <cs:fontRef idx="minor">
      <a:schemeClr val="lt1"/>
    </cs:fontRef>
    <cs:spPr>
      <a:solidFill>
        <a:schemeClr val="dk1">
          <a:lumMod val="50000"/>
          <a:lumOff val="50000"/>
        </a:schemeClr>
      </a:solidFill>
      <a:ln w="9525">
        <a:solidFill>
          <a:schemeClr val="dk1">
            <a:lumMod val="75000"/>
          </a:schemeClr>
        </a:solidFill>
        <a:round/>
      </a:ln>
    </cs:spPr>
  </cs:downBar>
  <cs:dropLine>
    <cs:lnRef idx="0"/>
    <cs:fillRef idx="0"/>
    <cs:effectRef idx="0"/>
    <cs:fontRef idx="minor">
      <a:schemeClr val="dk1"/>
    </cs:fontRef>
    <cs:spPr>
      <a:ln w="9525">
        <a:solidFill>
          <a:schemeClr val="lt1">
            <a:lumMod val="50000"/>
          </a:schemeClr>
        </a:solidFill>
        <a:round/>
      </a:ln>
    </cs:spPr>
  </cs:dropLine>
  <cs:errorBar>
    <cs:lnRef idx="0"/>
    <cs:fillRef idx="0"/>
    <cs:effectRef idx="0"/>
    <cs:fontRef idx="minor">
      <a:schemeClr val="dk1"/>
    </cs:fontRef>
    <cs:spPr>
      <a:ln w="9525">
        <a:solidFill>
          <a:schemeClr val="lt1">
            <a:lumMod val="50000"/>
          </a:schemeClr>
        </a:solidFill>
        <a:round/>
      </a:ln>
    </cs:spPr>
  </cs:errorBar>
  <cs:floor>
    <cs:lnRef idx="0"/>
    <cs:fillRef idx="0"/>
    <cs:effectRef idx="0"/>
    <cs:fontRef idx="minor">
      <a:schemeClr val="dk1"/>
    </cs:fontRef>
  </cs:floor>
  <cs:gridlineMajor>
    <cs:lnRef idx="0"/>
    <cs:fillRef idx="0"/>
    <cs:effectRef idx="0"/>
    <cs:fontRef idx="minor">
      <a:schemeClr val="tx1"/>
    </cs:fontRef>
    <cs:spPr>
      <a:ln w="9525" cap="flat" cmpd="sng" algn="ctr">
        <a:solidFill>
          <a:schemeClr val="dk1">
            <a:lumMod val="65000"/>
            <a:lumOff val="35000"/>
            <a:alpha val="75000"/>
          </a:schemeClr>
        </a:solidFill>
        <a:round/>
      </a:ln>
    </cs:spPr>
  </cs:gridlineMajor>
  <cs:gridlineMinor>
    <cs:lnRef idx="0"/>
    <cs:fillRef idx="0"/>
    <cs:effectRef idx="0"/>
    <cs:fontRef idx="minor">
      <a:schemeClr val="tx1"/>
    </cs:fontRef>
    <cs:spPr>
      <a:ln w="9525" cap="flat" cmpd="sng" algn="ctr">
        <a:solidFill>
          <a:schemeClr val="dk1">
            <a:lumMod val="65000"/>
            <a:lumOff val="35000"/>
            <a:alpha val="25000"/>
          </a:schemeClr>
        </a:solidFill>
        <a:round/>
      </a:ln>
    </cs:spPr>
  </cs:gridlineMinor>
  <cs:hiLoLine>
    <cs:lnRef idx="0"/>
    <cs:fillRef idx="0"/>
    <cs:effectRef idx="0"/>
    <cs:fontRef idx="minor">
      <a:schemeClr val="dk1"/>
    </cs:fontRef>
    <cs:spPr>
      <a:ln w="9525">
        <a:solidFill>
          <a:schemeClr val="lt1">
            <a:lumMod val="50000"/>
          </a:schemeClr>
        </a:solidFill>
        <a:round/>
      </a:ln>
    </cs:spPr>
  </cs:hiLoLine>
  <cs:leaderLine>
    <cs:lnRef idx="0"/>
    <cs:fillRef idx="0"/>
    <cs:effectRef idx="0"/>
    <cs:fontRef idx="minor">
      <a:schemeClr val="dk1"/>
    </cs:fontRef>
    <cs:spPr>
      <a:ln w="9525">
        <a:solidFill>
          <a:schemeClr val="lt1">
            <a:lumMod val="50000"/>
          </a:schemeClr>
        </a:solidFill>
        <a:round/>
      </a:ln>
    </cs:spPr>
  </cs:leaderLine>
  <cs:legend>
    <cs:lnRef idx="0"/>
    <cs:fillRef idx="0"/>
    <cs:effectRef idx="0"/>
    <cs:fontRef idx="minor">
      <a:schemeClr val="lt1">
        <a:lumMod val="7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lt1">
        <a:lumMod val="75000"/>
      </a:schemeClr>
    </cs:fontRef>
    <cs:defRPr sz="900" kern="1200"/>
  </cs:seriesAxis>
  <cs:seriesLine>
    <cs:lnRef idx="0"/>
    <cs:fillRef idx="0"/>
    <cs:effectRef idx="0"/>
    <cs:fontRef idx="minor">
      <a:schemeClr val="dk1"/>
    </cs:fontRef>
    <cs:spPr>
      <a:ln w="9525">
        <a:solidFill>
          <a:schemeClr val="lt1">
            <a:lumMod val="50000"/>
          </a:schemeClr>
        </a:solidFill>
        <a:round/>
      </a:ln>
    </cs:spPr>
  </cs:seriesLine>
  <cs:title>
    <cs:lnRef idx="0"/>
    <cs:fillRef idx="0"/>
    <cs:effectRef idx="0"/>
    <cs:fontRef idx="minor">
      <a:schemeClr val="lt1">
        <a:lumMod val="85000"/>
      </a:schemeClr>
    </cs:fontRef>
    <cs:defRPr sz="1400" b="1" kern="1200" cap="none" baseline="0"/>
  </cs:title>
  <cs:trendline>
    <cs:lnRef idx="0">
      <cs:styleClr val="auto"/>
    </cs:lnRef>
    <cs:fillRef idx="0"/>
    <cs:effectRef idx="0"/>
    <cs:fontRef idx="minor">
      <a:schemeClr val="lt1"/>
    </cs:fontRef>
    <cs:spPr>
      <a:ln w="25400" cap="rnd">
        <a:solidFill>
          <a:schemeClr val="phClr">
            <a:alpha val="50000"/>
          </a:schemeClr>
        </a:solidFill>
      </a:ln>
    </cs:spPr>
  </cs:trendline>
  <cs:trendlineLabel>
    <cs:lnRef idx="0"/>
    <cs:fillRef idx="0"/>
    <cs:effectRef idx="0"/>
    <cs:fontRef idx="minor">
      <a:schemeClr val="lt1">
        <a:lumMod val="75000"/>
      </a:schemeClr>
    </cs:fontRef>
    <cs:defRPr sz="900" kern="1200"/>
  </cs:trendlineLabel>
  <cs:upBar>
    <cs:lnRef idx="0"/>
    <cs:fillRef idx="0"/>
    <cs:effectRef idx="0"/>
    <cs:fontRef idx="minor">
      <a:schemeClr val="dk1"/>
    </cs:fontRef>
    <cs:spPr>
      <a:solidFill>
        <a:schemeClr val="lt1">
          <a:lumMod val="85000"/>
        </a:schemeClr>
      </a:solidFill>
      <a:ln w="9525">
        <a:solidFill>
          <a:schemeClr val="dk1">
            <a:lumMod val="50000"/>
          </a:schemeClr>
        </a:solidFill>
        <a:round/>
      </a:ln>
    </cs:spPr>
  </cs:upBar>
  <cs:valueAxis>
    <cs:lnRef idx="0"/>
    <cs:fillRef idx="0"/>
    <cs:effectRef idx="0"/>
    <cs:fontRef idx="minor">
      <a:schemeClr val="lt1">
        <a:lumMod val="75000"/>
      </a:schemeClr>
    </cs:fontRef>
    <cs:spPr>
      <a:ln w="9525" cap="flat" cmpd="sng" algn="ctr">
        <a:solidFill>
          <a:schemeClr val="lt1">
            <a:lumMod val="50000"/>
          </a:schemeClr>
        </a:solidFill>
        <a:round/>
      </a:ln>
    </cs:spPr>
    <cs:defRPr sz="900" kern="1200"/>
    <cs:bodyPr/>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0</xdr:col>
      <xdr:colOff>114300</xdr:colOff>
      <xdr:row>2</xdr:row>
      <xdr:rowOff>85727</xdr:rowOff>
    </xdr:from>
    <xdr:to>
      <xdr:col>0</xdr:col>
      <xdr:colOff>3209925</xdr:colOff>
      <xdr:row>7</xdr:row>
      <xdr:rowOff>158774</xdr:rowOff>
    </xdr:to>
    <xdr:pic>
      <xdr:nvPicPr>
        <xdr:cNvPr id="4" name="Image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276227"/>
          <a:ext cx="3095625" cy="1044597"/>
        </a:xfrm>
        <a:prstGeom prst="rect">
          <a:avLst/>
        </a:prstGeom>
      </xdr:spPr>
    </xdr:pic>
    <xdr:clientData/>
  </xdr:twoCellAnchor>
  <xdr:twoCellAnchor>
    <xdr:from>
      <xdr:col>0</xdr:col>
      <xdr:colOff>19050</xdr:colOff>
      <xdr:row>208</xdr:row>
      <xdr:rowOff>19050</xdr:rowOff>
    </xdr:from>
    <xdr:to>
      <xdr:col>0</xdr:col>
      <xdr:colOff>3257550</xdr:colOff>
      <xdr:row>228</xdr:row>
      <xdr:rowOff>190500</xdr:rowOff>
    </xdr:to>
    <xdr:cxnSp macro="">
      <xdr:nvCxnSpPr>
        <xdr:cNvPr id="3" name="Connecteur droit 2"/>
        <xdr:cNvCxnSpPr/>
      </xdr:nvCxnSpPr>
      <xdr:spPr>
        <a:xfrm>
          <a:off x="19050" y="28451175"/>
          <a:ext cx="3238500" cy="407670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19050</xdr:colOff>
      <xdr:row>208</xdr:row>
      <xdr:rowOff>19050</xdr:rowOff>
    </xdr:from>
    <xdr:to>
      <xdr:col>0</xdr:col>
      <xdr:colOff>3295650</xdr:colOff>
      <xdr:row>228</xdr:row>
      <xdr:rowOff>180975</xdr:rowOff>
    </xdr:to>
    <xdr:cxnSp macro="">
      <xdr:nvCxnSpPr>
        <xdr:cNvPr id="6" name="Connecteur droit 5"/>
        <xdr:cNvCxnSpPr/>
      </xdr:nvCxnSpPr>
      <xdr:spPr>
        <a:xfrm flipH="1">
          <a:off x="19050" y="28451175"/>
          <a:ext cx="3276600" cy="406717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206</xdr:row>
      <xdr:rowOff>12700</xdr:rowOff>
    </xdr:from>
    <xdr:to>
      <xdr:col>19</xdr:col>
      <xdr:colOff>863600</xdr:colOff>
      <xdr:row>228</xdr:row>
      <xdr:rowOff>177800</xdr:rowOff>
    </xdr:to>
    <xdr:cxnSp macro="">
      <xdr:nvCxnSpPr>
        <xdr:cNvPr id="5" name="Connecteur droit 4"/>
        <xdr:cNvCxnSpPr/>
      </xdr:nvCxnSpPr>
      <xdr:spPr>
        <a:xfrm>
          <a:off x="4089400" y="38925500"/>
          <a:ext cx="26479500" cy="4470400"/>
        </a:xfrm>
        <a:prstGeom prst="line">
          <a:avLst/>
        </a:prstGeom>
        <a:ln w="38100"/>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12700</xdr:colOff>
      <xdr:row>205</xdr:row>
      <xdr:rowOff>177800</xdr:rowOff>
    </xdr:from>
    <xdr:to>
      <xdr:col>20</xdr:col>
      <xdr:colOff>0</xdr:colOff>
      <xdr:row>228</xdr:row>
      <xdr:rowOff>139700</xdr:rowOff>
    </xdr:to>
    <xdr:cxnSp macro="">
      <xdr:nvCxnSpPr>
        <xdr:cNvPr id="8" name="Connecteur droit 7"/>
        <xdr:cNvCxnSpPr/>
      </xdr:nvCxnSpPr>
      <xdr:spPr>
        <a:xfrm flipH="1">
          <a:off x="4102100" y="38887400"/>
          <a:ext cx="26479500" cy="4470400"/>
        </a:xfrm>
        <a:prstGeom prst="line">
          <a:avLst/>
        </a:prstGeom>
        <a:ln w="38100"/>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28575</xdr:colOff>
      <xdr:row>50</xdr:row>
      <xdr:rowOff>19050</xdr:rowOff>
    </xdr:from>
    <xdr:to>
      <xdr:col>2</xdr:col>
      <xdr:colOff>514350</xdr:colOff>
      <xdr:row>64</xdr:row>
      <xdr:rowOff>76200</xdr:rowOff>
    </xdr:to>
    <xdr:graphicFrame macro="">
      <xdr:nvGraphicFramePr>
        <xdr:cNvPr id="15" name="Graphique 1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3</xdr:col>
      <xdr:colOff>328612</xdr:colOff>
      <xdr:row>0</xdr:row>
      <xdr:rowOff>192882</xdr:rowOff>
    </xdr:from>
    <xdr:to>
      <xdr:col>7</xdr:col>
      <xdr:colOff>500064</xdr:colOff>
      <xdr:row>12</xdr:row>
      <xdr:rowOff>1</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mrnf.gouv.qc.ca/wp-content/uploads/Quantite-valeurs-droits-2021-MRNF.pdf" TargetMode="External"/><Relationship Id="rId13" Type="http://schemas.openxmlformats.org/officeDocument/2006/relationships/hyperlink" Target="https://mrnf.gouv.qc.ca/wp-content/uploads/Quantite-valeur-droits-2015.pdf" TargetMode="External"/><Relationship Id="rId18" Type="http://schemas.openxmlformats.org/officeDocument/2006/relationships/drawing" Target="../drawings/drawing1.xml"/><Relationship Id="rId3" Type="http://schemas.openxmlformats.org/officeDocument/2006/relationships/hyperlink" Target="https://mern.gouv.qc.ca/wp-content/uploads/Quantite-valeurs-droits-2018-fr-MERN.pdf" TargetMode="External"/><Relationship Id="rId7" Type="http://schemas.openxmlformats.org/officeDocument/2006/relationships/hyperlink" Target="https://mern.gouv.qc.ca/wp-content/uploads/Quantite-valeurs-droits-2020-fr-MERN.pdf" TargetMode="External"/><Relationship Id="rId12" Type="http://schemas.openxmlformats.org/officeDocument/2006/relationships/hyperlink" Target="https://mrnf.gouv.qc.ca/wp-content/uploads/Quantites-valeurs-droits-2022-MRNF.pdf" TargetMode="External"/><Relationship Id="rId17" Type="http://schemas.openxmlformats.org/officeDocument/2006/relationships/printerSettings" Target="../printerSettings/printerSettings1.bin"/><Relationship Id="rId2" Type="http://schemas.openxmlformats.org/officeDocument/2006/relationships/hyperlink" Target="https://mern.gouv.qc.ca/wp-content/uploads/Quantite-valeurs-droits-2019-fr-MERN.pdf" TargetMode="External"/><Relationship Id="rId16" Type="http://schemas.openxmlformats.org/officeDocument/2006/relationships/hyperlink" Target="https://goldprice.org/fr/gold-price-chart.html" TargetMode="External"/><Relationship Id="rId1" Type="http://schemas.openxmlformats.org/officeDocument/2006/relationships/hyperlink" Target="https://mern.gouv.qc.ca/mines/publications/donnees-activite-miniere/" TargetMode="External"/><Relationship Id="rId6" Type="http://schemas.openxmlformats.org/officeDocument/2006/relationships/hyperlink" Target="https://mrnf.gouv.qc.ca/wp-content/uploads/Quantite-valeur-droits-2014.pdf" TargetMode="External"/><Relationship Id="rId11" Type="http://schemas.openxmlformats.org/officeDocument/2006/relationships/hyperlink" Target="https://mrnf.gouv.qc.ca/wp-content/uploads/Quantite-valeur-droits-2023.pdf" TargetMode="External"/><Relationship Id="rId5" Type="http://schemas.openxmlformats.org/officeDocument/2006/relationships/hyperlink" Target="https://mrnf.gouv.qc.ca/wp-content/uploads/Quantite-valeur-droits-2016.pdf" TargetMode="External"/><Relationship Id="rId15" Type="http://schemas.openxmlformats.org/officeDocument/2006/relationships/hyperlink" Target="https://www.indexmundi.com/fr/matieres-premieres/?marchandise=or&amp;mois=120&amp;monnaie=cad" TargetMode="External"/><Relationship Id="rId10" Type="http://schemas.openxmlformats.org/officeDocument/2006/relationships/hyperlink" Target="https://www.indexmundi.com/fr/matieres-premieres/?marchandise=nickel&amp;mois=120&amp;monnaie=cad" TargetMode="External"/><Relationship Id="rId4" Type="http://schemas.openxmlformats.org/officeDocument/2006/relationships/hyperlink" Target="https://mern.gouv.qc.ca/wp-content/uploads/quantite-valeurs-droits-2017-fr-MERN.pdf" TargetMode="External"/><Relationship Id="rId9" Type="http://schemas.openxmlformats.org/officeDocument/2006/relationships/hyperlink" Target="https://www.indexmundi.com/fr/matieres-premieres/?marchandise=cuivre&amp;mois=120&amp;monnaie=cad" TargetMode="External"/><Relationship Id="rId14" Type="http://schemas.openxmlformats.org/officeDocument/2006/relationships/hyperlink" Target="https://www.indexmundi.com/fr/matieres-premieres/?marchandise=minerai-de-fer&amp;mois=120&amp;monnaie=cad"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N523"/>
  <sheetViews>
    <sheetView showGridLines="0" tabSelected="1" zoomScaleNormal="100" workbookViewId="0">
      <selection activeCell="I42" sqref="I42"/>
    </sheetView>
  </sheetViews>
  <sheetFormatPr baseColWidth="10" defaultRowHeight="15" x14ac:dyDescent="0.25"/>
  <cols>
    <col min="1" max="1" width="49.85546875" customWidth="1"/>
    <col min="3" max="3" width="27" customWidth="1"/>
    <col min="4" max="4" width="25" customWidth="1"/>
    <col min="5" max="6" width="23.140625" customWidth="1"/>
    <col min="7" max="7" width="24.28515625" customWidth="1"/>
    <col min="8" max="8" width="23.85546875" customWidth="1"/>
    <col min="9" max="14" width="23.140625" customWidth="1"/>
    <col min="15" max="15" width="23.28515625" customWidth="1"/>
    <col min="16" max="16" width="20.7109375" customWidth="1"/>
    <col min="17" max="17" width="13" customWidth="1"/>
    <col min="18" max="18" width="23.140625" customWidth="1"/>
    <col min="19" max="19" width="17.85546875" bestFit="1" customWidth="1"/>
    <col min="20" max="20" width="13.140625" bestFit="1" customWidth="1"/>
    <col min="21" max="21" width="21.85546875" customWidth="1"/>
    <col min="22" max="23" width="13.85546875" bestFit="1" customWidth="1"/>
    <col min="24" max="24" width="16.28515625" bestFit="1" customWidth="1"/>
    <col min="25" max="26" width="13.140625" bestFit="1" customWidth="1"/>
    <col min="28" max="28" width="22.7109375" customWidth="1"/>
    <col min="30" max="30" width="12.7109375" customWidth="1"/>
    <col min="31" max="31" width="13.85546875" customWidth="1"/>
    <col min="32" max="33" width="13.28515625" customWidth="1"/>
    <col min="34" max="34" width="14.42578125" customWidth="1"/>
    <col min="35" max="35" width="13" customWidth="1"/>
    <col min="36" max="36" width="13.28515625" customWidth="1"/>
    <col min="37" max="37" width="13.140625" customWidth="1"/>
    <col min="38" max="38" width="14.42578125" customWidth="1"/>
    <col min="39" max="39" width="14.140625" bestFit="1" customWidth="1"/>
    <col min="40" max="46" width="13.7109375" customWidth="1"/>
  </cols>
  <sheetData>
    <row r="1" spans="1:7" ht="15.75" thickBot="1" x14ac:dyDescent="0.3"/>
    <row r="2" spans="1:7" x14ac:dyDescent="0.25">
      <c r="A2" s="434"/>
      <c r="C2" s="1519" t="s">
        <v>208</v>
      </c>
      <c r="D2" s="1520"/>
      <c r="E2" s="1520"/>
      <c r="F2" s="1521"/>
    </row>
    <row r="3" spans="1:7" ht="15.75" thickBot="1" x14ac:dyDescent="0.3">
      <c r="A3" s="1513"/>
      <c r="C3" s="1522"/>
      <c r="D3" s="1523"/>
      <c r="E3" s="1523"/>
      <c r="F3" s="1524"/>
    </row>
    <row r="4" spans="1:7" ht="15.75" thickBot="1" x14ac:dyDescent="0.3">
      <c r="A4" s="1513"/>
      <c r="C4" s="433" t="s">
        <v>163</v>
      </c>
    </row>
    <row r="5" spans="1:7" ht="15" customHeight="1" x14ac:dyDescent="0.25">
      <c r="A5" s="1513"/>
      <c r="C5" s="1533" t="s">
        <v>164</v>
      </c>
      <c r="D5" s="1534"/>
      <c r="E5" s="1534"/>
      <c r="F5" s="1534"/>
      <c r="G5" s="1535"/>
    </row>
    <row r="6" spans="1:7" x14ac:dyDescent="0.25">
      <c r="A6" s="1513"/>
      <c r="C6" s="1536"/>
      <c r="D6" s="1496"/>
      <c r="E6" s="1496"/>
      <c r="F6" s="1496"/>
      <c r="G6" s="1537"/>
    </row>
    <row r="7" spans="1:7" x14ac:dyDescent="0.25">
      <c r="A7" s="1513"/>
      <c r="C7" s="1536"/>
      <c r="D7" s="1496"/>
      <c r="E7" s="1496"/>
      <c r="F7" s="1496"/>
      <c r="G7" s="1537"/>
    </row>
    <row r="8" spans="1:7" ht="15.75" thickBot="1" x14ac:dyDescent="0.3">
      <c r="A8" s="1513"/>
      <c r="C8" s="1538"/>
      <c r="D8" s="1539"/>
      <c r="E8" s="1539"/>
      <c r="F8" s="1539"/>
      <c r="G8" s="1540"/>
    </row>
    <row r="9" spans="1:7" ht="15" customHeight="1" x14ac:dyDescent="0.25">
      <c r="A9" s="1513"/>
      <c r="C9" s="1501" t="s">
        <v>165</v>
      </c>
      <c r="D9" s="1502"/>
      <c r="E9" s="1502"/>
      <c r="F9" s="1502"/>
      <c r="G9" s="1503"/>
    </row>
    <row r="10" spans="1:7" ht="16.5" customHeight="1" x14ac:dyDescent="0.25">
      <c r="A10" s="434"/>
      <c r="C10" s="1504"/>
      <c r="D10" s="1505"/>
      <c r="E10" s="1505"/>
      <c r="F10" s="1505"/>
      <c r="G10" s="1506"/>
    </row>
    <row r="11" spans="1:7" x14ac:dyDescent="0.25">
      <c r="A11" s="434"/>
      <c r="C11" s="1504"/>
      <c r="D11" s="1505"/>
      <c r="E11" s="1505"/>
      <c r="F11" s="1505"/>
      <c r="G11" s="1506"/>
    </row>
    <row r="12" spans="1:7" ht="15" customHeight="1" thickBot="1" x14ac:dyDescent="0.3">
      <c r="A12" s="434"/>
      <c r="C12" s="1504"/>
      <c r="D12" s="1505"/>
      <c r="E12" s="1505"/>
      <c r="F12" s="1505"/>
      <c r="G12" s="1506"/>
    </row>
    <row r="13" spans="1:7" ht="15" customHeight="1" x14ac:dyDescent="0.25">
      <c r="A13" s="434"/>
      <c r="C13" s="1492" t="s">
        <v>166</v>
      </c>
      <c r="D13" s="1493"/>
      <c r="E13" s="1493"/>
      <c r="F13" s="1493"/>
      <c r="G13" s="1494"/>
    </row>
    <row r="14" spans="1:7" ht="15.75" customHeight="1" x14ac:dyDescent="0.25">
      <c r="C14" s="1495"/>
      <c r="D14" s="1496"/>
      <c r="E14" s="1496"/>
      <c r="F14" s="1496"/>
      <c r="G14" s="1497"/>
    </row>
    <row r="15" spans="1:7" x14ac:dyDescent="0.25">
      <c r="C15" s="1495"/>
      <c r="D15" s="1496"/>
      <c r="E15" s="1496"/>
      <c r="F15" s="1496"/>
      <c r="G15" s="1497"/>
    </row>
    <row r="16" spans="1:7" ht="15.75" thickBot="1" x14ac:dyDescent="0.3">
      <c r="C16" s="1498"/>
      <c r="D16" s="1499"/>
      <c r="E16" s="1499"/>
      <c r="F16" s="1499"/>
      <c r="G16" s="1500"/>
    </row>
    <row r="17" spans="1:15" x14ac:dyDescent="0.25">
      <c r="C17" s="432" t="s">
        <v>156</v>
      </c>
      <c r="D17" s="1512" t="s">
        <v>167</v>
      </c>
      <c r="E17" s="1512"/>
      <c r="F17" s="1512"/>
      <c r="G17" s="1512"/>
    </row>
    <row r="18" spans="1:15" x14ac:dyDescent="0.25">
      <c r="C18" s="1509" t="s">
        <v>193</v>
      </c>
      <c r="D18" s="1516"/>
      <c r="E18" s="1516"/>
      <c r="F18" s="1516"/>
      <c r="G18" s="1516"/>
    </row>
    <row r="19" spans="1:15" x14ac:dyDescent="0.25">
      <c r="C19" s="1509" t="s">
        <v>187</v>
      </c>
      <c r="D19" s="1511"/>
      <c r="E19" s="1511"/>
      <c r="F19" s="1511"/>
      <c r="G19" s="1511"/>
    </row>
    <row r="20" spans="1:15" x14ac:dyDescent="0.25">
      <c r="C20" s="1541" t="s">
        <v>188</v>
      </c>
      <c r="D20" s="1542"/>
      <c r="E20" s="1542"/>
      <c r="F20" s="1542"/>
      <c r="G20" s="1543"/>
    </row>
    <row r="21" spans="1:15" x14ac:dyDescent="0.25">
      <c r="C21" s="1509" t="s">
        <v>171</v>
      </c>
      <c r="D21" s="1511"/>
      <c r="E21" s="1511"/>
      <c r="F21" s="1511"/>
      <c r="G21" s="1511"/>
    </row>
    <row r="22" spans="1:15" x14ac:dyDescent="0.25">
      <c r="C22" s="1507" t="s">
        <v>168</v>
      </c>
      <c r="D22" s="1508"/>
      <c r="E22" s="1508"/>
      <c r="F22" s="1508"/>
      <c r="G22" s="1508"/>
    </row>
    <row r="23" spans="1:15" x14ac:dyDescent="0.25">
      <c r="C23" s="1507" t="s">
        <v>169</v>
      </c>
      <c r="D23" s="1508"/>
      <c r="E23" s="1508"/>
      <c r="F23" s="1508"/>
      <c r="G23" s="1508"/>
    </row>
    <row r="24" spans="1:15" x14ac:dyDescent="0.25">
      <c r="C24" s="1509" t="s">
        <v>170</v>
      </c>
      <c r="D24" s="1510"/>
      <c r="E24" s="1510"/>
      <c r="F24" s="1510"/>
      <c r="G24" s="1510"/>
    </row>
    <row r="25" spans="1:15" x14ac:dyDescent="0.25">
      <c r="C25" s="1509" t="s">
        <v>201</v>
      </c>
      <c r="D25" s="1510"/>
      <c r="E25" s="1510"/>
      <c r="F25" s="1510"/>
      <c r="G25" s="1510"/>
    </row>
    <row r="26" spans="1:15" x14ac:dyDescent="0.25">
      <c r="C26" s="1509" t="s">
        <v>202</v>
      </c>
      <c r="D26" s="1509"/>
      <c r="E26" s="1509"/>
      <c r="F26" s="1509"/>
      <c r="G26" s="1509"/>
    </row>
    <row r="27" spans="1:15" x14ac:dyDescent="0.25">
      <c r="C27" s="1509" t="s">
        <v>203</v>
      </c>
      <c r="D27" s="1510"/>
      <c r="E27" s="1510"/>
      <c r="F27" s="1510"/>
      <c r="G27" s="1510"/>
    </row>
    <row r="28" spans="1:15" ht="15.75" thickBot="1" x14ac:dyDescent="0.3">
      <c r="C28" s="14"/>
      <c r="D28" s="14"/>
      <c r="E28" s="14"/>
      <c r="F28" s="14"/>
    </row>
    <row r="29" spans="1:15" ht="15" customHeight="1" x14ac:dyDescent="0.25">
      <c r="C29" s="1531" t="s">
        <v>162</v>
      </c>
      <c r="D29" s="1529" t="s">
        <v>145</v>
      </c>
      <c r="E29" s="1525" t="s">
        <v>185</v>
      </c>
      <c r="F29" s="1545" t="s">
        <v>204</v>
      </c>
      <c r="G29" s="1514" t="s">
        <v>184</v>
      </c>
      <c r="H29" s="1547" t="s">
        <v>192</v>
      </c>
      <c r="I29" s="1527" t="s">
        <v>200</v>
      </c>
      <c r="J29" s="1517" t="s">
        <v>198</v>
      </c>
      <c r="K29" s="1517" t="s">
        <v>186</v>
      </c>
      <c r="L29" s="1517" t="s">
        <v>192</v>
      </c>
      <c r="M29" s="1517" t="s">
        <v>200</v>
      </c>
    </row>
    <row r="30" spans="1:15" ht="35.25" customHeight="1" thickBot="1" x14ac:dyDescent="0.3">
      <c r="A30" s="14"/>
      <c r="C30" s="1532"/>
      <c r="D30" s="1530"/>
      <c r="E30" s="1526"/>
      <c r="F30" s="1546"/>
      <c r="G30" s="1515"/>
      <c r="H30" s="1548"/>
      <c r="I30" s="1528"/>
      <c r="J30" s="1518"/>
      <c r="K30" s="1518"/>
      <c r="L30" s="1518"/>
      <c r="M30" s="1518"/>
      <c r="O30" s="1491"/>
    </row>
    <row r="31" spans="1:15" ht="15.95" customHeight="1" x14ac:dyDescent="0.25">
      <c r="A31" s="1405"/>
      <c r="B31" s="389">
        <v>2023</v>
      </c>
      <c r="C31" s="1402">
        <v>7359507197</v>
      </c>
      <c r="D31" s="1403">
        <v>431190102</v>
      </c>
      <c r="E31" s="1154">
        <f t="shared" ref="E31:E34" si="0">+D31/C31</f>
        <v>5.8589534660115371E-2</v>
      </c>
      <c r="F31" s="1187">
        <f>+P73+(500091826*AC43)</f>
        <v>1339427479.5521998</v>
      </c>
      <c r="G31" s="1194">
        <f>+S73+(24764564*AC43)</f>
        <v>89550965.0308</v>
      </c>
      <c r="H31" s="1193">
        <f>+G31/F31</f>
        <v>6.6857643581225368E-2</v>
      </c>
      <c r="I31" s="1382">
        <f t="shared" ref="I31:I40" si="1">+T73</f>
        <v>6.4428509752315566E-2</v>
      </c>
      <c r="J31" s="1380">
        <f>+P86+P110+P122+P134</f>
        <v>1022855840.8794</v>
      </c>
      <c r="K31" s="1381">
        <f>+S86+S110+S122+S134</f>
        <v>50651856.080099992</v>
      </c>
      <c r="L31" s="1193">
        <f>+K31/J31</f>
        <v>4.9520034061253514E-2</v>
      </c>
      <c r="M31" s="1384">
        <f>+(T86+T110+T122+T134)/4</f>
        <v>2.3602135995921914E-2</v>
      </c>
      <c r="O31" s="1491"/>
    </row>
    <row r="32" spans="1:15" ht="15.95" customHeight="1" x14ac:dyDescent="0.25">
      <c r="A32" s="14"/>
      <c r="B32" s="389">
        <v>2022</v>
      </c>
      <c r="C32" s="1170">
        <v>8055466425</v>
      </c>
      <c r="D32" s="1170">
        <v>560943894</v>
      </c>
      <c r="E32" s="1154">
        <f t="shared" si="0"/>
        <v>6.9635184904888986E-2</v>
      </c>
      <c r="F32" s="742">
        <f t="shared" ref="F32:F40" si="2">+P74</f>
        <v>1136730757</v>
      </c>
      <c r="G32" s="1171">
        <f t="shared" ref="G32:G40" si="3">+S74</f>
        <v>80658329</v>
      </c>
      <c r="H32" s="1193">
        <f>+G32/F32</f>
        <v>7.0956405906416414E-2</v>
      </c>
      <c r="I32" s="1382">
        <f t="shared" si="1"/>
        <v>5.9587072494629023E-2</v>
      </c>
      <c r="J32" s="1166">
        <f t="shared" ref="J32:J40" si="4">+P87+P99+P111+P123</f>
        <v>998515906.37600005</v>
      </c>
      <c r="K32" s="1146">
        <f t="shared" ref="K32:K40" si="5">+S87+S99+S111+S123</f>
        <v>59581532.300799996</v>
      </c>
      <c r="L32" s="1193">
        <f>+K32/J32</f>
        <v>5.9670088298387144E-2</v>
      </c>
      <c r="M32" s="1385">
        <f t="shared" ref="M32:M40" si="6">(+T87+T99+T111+T123)/4</f>
        <v>2.7448428597794922E-2</v>
      </c>
      <c r="O32" s="1491"/>
    </row>
    <row r="33" spans="1:29" ht="15.95" customHeight="1" thickBot="1" x14ac:dyDescent="0.3">
      <c r="A33" s="14"/>
      <c r="B33" s="532">
        <v>2021</v>
      </c>
      <c r="C33" s="1144">
        <v>9829250315</v>
      </c>
      <c r="D33" s="1145">
        <v>939879977</v>
      </c>
      <c r="E33" s="1154">
        <f t="shared" si="0"/>
        <v>9.5620718455576334E-2</v>
      </c>
      <c r="F33" s="160">
        <f t="shared" si="2"/>
        <v>1219278311</v>
      </c>
      <c r="G33" s="1147">
        <f t="shared" si="3"/>
        <v>123391683</v>
      </c>
      <c r="H33" s="1188">
        <f t="shared" ref="H33:H42" si="7">+G33/F33</f>
        <v>0.10120058881290148</v>
      </c>
      <c r="I33" s="1383">
        <f t="shared" si="1"/>
        <v>7.5512410191326429E-2</v>
      </c>
      <c r="J33" s="1158">
        <f t="shared" si="4"/>
        <v>1163389446.1495249</v>
      </c>
      <c r="K33" s="1159">
        <f t="shared" si="5"/>
        <v>92474046.341224983</v>
      </c>
      <c r="L33" s="1188">
        <f t="shared" ref="L33:L40" si="8">+K33/J33</f>
        <v>7.9486750242824311E-2</v>
      </c>
      <c r="M33" s="1386">
        <f t="shared" si="6"/>
        <v>3.8900033591404384E-2</v>
      </c>
      <c r="O33" s="1161"/>
    </row>
    <row r="34" spans="1:29" ht="15.95" customHeight="1" thickBot="1" x14ac:dyDescent="0.3">
      <c r="A34" s="14"/>
      <c r="B34" s="819">
        <v>2020</v>
      </c>
      <c r="C34" s="826">
        <f>+P76+P89+P113+P125+P158+P170+P182+P194+P295+P312+P322+P330+P342+P354+P365+P381+P393+P405+P429+P440+P452+S464+P476+P488</f>
        <v>7536046093.3474998</v>
      </c>
      <c r="D34" s="375">
        <v>631679364</v>
      </c>
      <c r="E34" s="1155">
        <f t="shared" si="0"/>
        <v>8.3821058971178475E-2</v>
      </c>
      <c r="F34" s="160">
        <f t="shared" si="2"/>
        <v>974497896</v>
      </c>
      <c r="G34" s="1147">
        <f t="shared" si="3"/>
        <v>87871025</v>
      </c>
      <c r="H34" s="1188">
        <f t="shared" si="7"/>
        <v>9.0170564103506282E-2</v>
      </c>
      <c r="I34" s="1383">
        <f t="shared" si="1"/>
        <v>6.4583502389461686E-2</v>
      </c>
      <c r="J34" s="1158">
        <f t="shared" si="4"/>
        <v>1014385213.8089999</v>
      </c>
      <c r="K34" s="1159">
        <f t="shared" si="5"/>
        <v>86986004.628499985</v>
      </c>
      <c r="L34" s="1188">
        <f t="shared" si="8"/>
        <v>8.5752437480697261E-2</v>
      </c>
      <c r="M34" s="1386">
        <f t="shared" si="6"/>
        <v>3.9674402960683926E-2</v>
      </c>
      <c r="O34" s="1163"/>
    </row>
    <row r="35" spans="1:29" ht="15.95" customHeight="1" x14ac:dyDescent="0.25">
      <c r="A35" s="14"/>
      <c r="B35" s="819">
        <v>2019</v>
      </c>
      <c r="C35" s="254">
        <f>+P77+P90+P102+P114+P126+P147+P159+P171+P183+P195+P208+P216+P224+P236+P248+P260+P272+P284+P296+P313+P331+P343+P355+P366+P382+P394+P406+P418+P430+P441+P453+S465+P477+P489+P501</f>
        <v>6312228288.4199991</v>
      </c>
      <c r="D35" s="375">
        <f>+S77+S90+S102+S114+S126+S147+S159+S171+S183+S195+S208+S216+S224+S236+S248+S260+S272+S284+S296+S313+S331+S343+S355+S366+S382+S394+S406+S418+S430+S441+S453+V465+S477+S489+S501</f>
        <v>387419082.38</v>
      </c>
      <c r="E35" s="1155">
        <f t="shared" ref="E35:E40" si="9">+D35/C35</f>
        <v>6.1375961812207218E-2</v>
      </c>
      <c r="F35" s="160">
        <f t="shared" si="2"/>
        <v>828223323</v>
      </c>
      <c r="G35" s="1147">
        <f t="shared" si="3"/>
        <v>70799132</v>
      </c>
      <c r="H35" s="1188">
        <f t="shared" si="7"/>
        <v>8.5483142087270106E-2</v>
      </c>
      <c r="I35" s="1383">
        <f t="shared" si="1"/>
        <v>5.6763097870323895E-2</v>
      </c>
      <c r="J35" s="1158">
        <f t="shared" si="4"/>
        <v>883025585.82000005</v>
      </c>
      <c r="K35" s="1159">
        <f t="shared" si="5"/>
        <v>62660319.120000005</v>
      </c>
      <c r="L35" s="1188">
        <f t="shared" si="8"/>
        <v>7.0960932645923319E-2</v>
      </c>
      <c r="M35" s="1386">
        <f t="shared" si="6"/>
        <v>4.4210196128829246E-2</v>
      </c>
      <c r="O35" s="157"/>
    </row>
    <row r="36" spans="1:29" ht="15.95" customHeight="1" x14ac:dyDescent="0.25">
      <c r="A36" s="14"/>
      <c r="B36" s="820">
        <v>2018</v>
      </c>
      <c r="C36" s="254">
        <f>+P78+P91+P103+P115+P127+P148+P160+P172+P184+P196+P209+P217+P225+P237+P249+P261+P273+P285+P297+P314+P332+P344+P356+P367+P383+P395+P407+P419+P431+P442+P454+S466+P478+P490+P502</f>
        <v>5489701825.3223991</v>
      </c>
      <c r="D36" s="375">
        <v>287016811</v>
      </c>
      <c r="E36" s="1155">
        <f t="shared" si="9"/>
        <v>5.2282768742752998E-2</v>
      </c>
      <c r="F36" s="160">
        <f t="shared" si="2"/>
        <v>763182564</v>
      </c>
      <c r="G36" s="1147">
        <f t="shared" si="3"/>
        <v>65000000</v>
      </c>
      <c r="H36" s="1188">
        <f t="shared" si="7"/>
        <v>8.5169660663264313E-2</v>
      </c>
      <c r="I36" s="1383">
        <f t="shared" si="1"/>
        <v>5.5794953935258899E-2</v>
      </c>
      <c r="J36" s="1158">
        <f t="shared" si="4"/>
        <v>775320385.52640009</v>
      </c>
      <c r="K36" s="1159">
        <f t="shared" si="5"/>
        <v>37634683.226700008</v>
      </c>
      <c r="L36" s="1188">
        <f t="shared" si="8"/>
        <v>4.8540814777039712E-2</v>
      </c>
      <c r="M36" s="1188">
        <f t="shared" si="6"/>
        <v>2.0527689306599841E-2</v>
      </c>
      <c r="O36" s="157"/>
    </row>
    <row r="37" spans="1:29" ht="15.95" customHeight="1" x14ac:dyDescent="0.25">
      <c r="A37" s="14"/>
      <c r="B37" s="820">
        <v>2017</v>
      </c>
      <c r="C37" s="254">
        <v>4546239006</v>
      </c>
      <c r="D37" s="375">
        <v>220619028</v>
      </c>
      <c r="E37" s="1155">
        <f t="shared" si="9"/>
        <v>4.8527811166292213E-2</v>
      </c>
      <c r="F37" s="160">
        <f t="shared" si="2"/>
        <v>613407541</v>
      </c>
      <c r="G37" s="1147">
        <f t="shared" si="3"/>
        <v>58626731</v>
      </c>
      <c r="H37" s="1188">
        <f t="shared" si="7"/>
        <v>9.5575497660861E-2</v>
      </c>
      <c r="I37" s="1383">
        <f t="shared" si="1"/>
        <v>5.6320273144363199E-2</v>
      </c>
      <c r="J37" s="1158">
        <f t="shared" si="4"/>
        <v>753999117.24740005</v>
      </c>
      <c r="K37" s="1159">
        <f t="shared" si="5"/>
        <v>36304829.0414</v>
      </c>
      <c r="L37" s="1188">
        <f t="shared" si="8"/>
        <v>4.8149697010172708E-2</v>
      </c>
      <c r="M37" s="1188">
        <f t="shared" si="6"/>
        <v>2.2664483122308302E-2</v>
      </c>
      <c r="O37" s="157"/>
    </row>
    <row r="38" spans="1:29" ht="15.95" customHeight="1" x14ac:dyDescent="0.25">
      <c r="A38" s="14"/>
      <c r="B38" s="820">
        <v>2016</v>
      </c>
      <c r="C38" s="254">
        <f>+P80+P93+P105+P117+P129+P150+P162+P174+P186+P198+P211+P219+P227+P239+P251+P263+P275+P287+P299+P316+P334+P346+P358+P369+P385+P397+P409+P421+P433+P444+P456+S468+P480+P492+P504</f>
        <v>3125186014.4735999</v>
      </c>
      <c r="D38" s="375">
        <v>105971460</v>
      </c>
      <c r="E38" s="1155">
        <f t="shared" si="9"/>
        <v>3.3908848788269524E-2</v>
      </c>
      <c r="F38" s="160">
        <f t="shared" si="2"/>
        <v>399307021</v>
      </c>
      <c r="G38" s="1147">
        <f t="shared" si="3"/>
        <v>14400000</v>
      </c>
      <c r="H38" s="1188">
        <f t="shared" si="7"/>
        <v>3.6062476346991154E-2</v>
      </c>
      <c r="I38" s="1383">
        <f t="shared" si="1"/>
        <v>1.4440917176083918E-2</v>
      </c>
      <c r="J38" s="1158">
        <f t="shared" si="4"/>
        <v>679079992.43519998</v>
      </c>
      <c r="K38" s="1159">
        <f t="shared" si="5"/>
        <v>24866024.371199999</v>
      </c>
      <c r="L38" s="1188">
        <f t="shared" si="8"/>
        <v>3.6617224256644251E-2</v>
      </c>
      <c r="M38" s="1188">
        <f t="shared" si="6"/>
        <v>1.619763136162506E-2</v>
      </c>
      <c r="O38" s="157"/>
      <c r="P38" s="14"/>
    </row>
    <row r="39" spans="1:29" ht="15.95" customHeight="1" x14ac:dyDescent="0.25">
      <c r="A39" s="35"/>
      <c r="B39" s="820">
        <v>2015</v>
      </c>
      <c r="C39" s="254">
        <f>+P81+P94+P106+P118+P130+P151+P163+P175+P187+P199+P212+P220+P228+P240+P252+P264+P276+P288+P300+P317+P335+P347+P359+P370+P386+P398+P410+P422+P434+P445+P457+S469+P481+P493+P505</f>
        <v>2911594067.2419</v>
      </c>
      <c r="D39" s="375">
        <f>+S81+S94+S106+S118+S130+S151+S163+S175+S187+S199+S212+S220+S228+S240+S252+S264+S276+S288+S300+S317+S335+S347+S359+S370+S386+S398+S410+S422+S434+S445+S457+V469+S481+S493+S505</f>
        <v>97464757.166900009</v>
      </c>
      <c r="E39" s="1155">
        <f t="shared" si="9"/>
        <v>3.3474706609505696E-2</v>
      </c>
      <c r="F39" s="160">
        <f t="shared" si="2"/>
        <v>507036887.04429996</v>
      </c>
      <c r="G39" s="1147">
        <f t="shared" si="3"/>
        <v>17467042</v>
      </c>
      <c r="H39" s="1188">
        <f t="shared" si="7"/>
        <v>3.4449252995815867E-2</v>
      </c>
      <c r="I39" s="1383">
        <f t="shared" si="1"/>
        <v>1.5896595612964248E-2</v>
      </c>
      <c r="J39" s="1158">
        <f t="shared" si="4"/>
        <v>563690421.96070004</v>
      </c>
      <c r="K39" s="1159">
        <f t="shared" si="5"/>
        <v>20330378.6472</v>
      </c>
      <c r="L39" s="1188">
        <f t="shared" si="8"/>
        <v>3.6066567490155819E-2</v>
      </c>
      <c r="M39" s="1188">
        <f t="shared" si="6"/>
        <v>1.6493333852917669E-2</v>
      </c>
      <c r="O39" s="157"/>
      <c r="P39" s="14"/>
    </row>
    <row r="40" spans="1:29" ht="15.95" customHeight="1" x14ac:dyDescent="0.25">
      <c r="B40" s="820">
        <v>2014</v>
      </c>
      <c r="C40" s="254">
        <f>+P82+P95+P107+P119+P131+P152+P164+P176+P188+P200+P213+P221+P229+P241+P253+P265+P277+P289+P301+P318+P336+P348+P360+P371+P387+P399+P411+P423+P435+P446+P458+S470+P482+P494+P506</f>
        <v>2932591595.2619996</v>
      </c>
      <c r="D40" s="375">
        <v>121134901</v>
      </c>
      <c r="E40" s="1155">
        <f t="shared" si="9"/>
        <v>4.1306433939083065E-2</v>
      </c>
      <c r="F40" s="160">
        <f t="shared" si="2"/>
        <v>446460339</v>
      </c>
      <c r="G40" s="1147">
        <f t="shared" si="3"/>
        <v>13660000</v>
      </c>
      <c r="H40" s="1188">
        <f t="shared" si="7"/>
        <v>3.0596222792367678E-2</v>
      </c>
      <c r="I40" s="1383">
        <f t="shared" si="1"/>
        <v>1.7781133641975342E-2</v>
      </c>
      <c r="J40" s="1158">
        <f t="shared" si="4"/>
        <v>469111576.37300003</v>
      </c>
      <c r="K40" s="1159">
        <f t="shared" si="5"/>
        <v>16098063.366</v>
      </c>
      <c r="L40" s="1188">
        <f t="shared" si="8"/>
        <v>3.4316065040356426E-2</v>
      </c>
      <c r="M40" s="1188">
        <f t="shared" si="6"/>
        <v>3.8589454030015874E-2</v>
      </c>
      <c r="O40" s="157"/>
      <c r="P40" s="14"/>
    </row>
    <row r="41" spans="1:29" ht="15.95" customHeight="1" x14ac:dyDescent="0.25">
      <c r="B41" s="828"/>
      <c r="C41" s="829"/>
      <c r="D41" s="375"/>
      <c r="E41" s="1168"/>
      <c r="F41" s="110"/>
      <c r="G41" s="1151"/>
      <c r="H41" s="1156"/>
      <c r="I41" s="1157"/>
      <c r="J41" s="110"/>
      <c r="K41" s="246"/>
      <c r="L41" s="110"/>
      <c r="M41" s="1165"/>
      <c r="O41" s="1164"/>
      <c r="P41" s="14"/>
    </row>
    <row r="42" spans="1:29" ht="15.95" customHeight="1" thickBot="1" x14ac:dyDescent="0.3">
      <c r="B42" s="825" t="s">
        <v>159</v>
      </c>
      <c r="C42" s="830">
        <f>SUM(C31:C40)</f>
        <v>58097810827.067406</v>
      </c>
      <c r="D42" s="830">
        <f>SUM(D31:D40)</f>
        <v>3783319376.5469003</v>
      </c>
      <c r="E42" s="1410">
        <f>SUM(E31:E40)/10</f>
        <v>5.785430280498699E-2</v>
      </c>
      <c r="F42" s="830">
        <f>SUM(F31:F40)</f>
        <v>8227552118.5965004</v>
      </c>
      <c r="G42" s="830">
        <f>SUM(G31:G40)</f>
        <v>621424907.03079998</v>
      </c>
      <c r="H42" s="1387">
        <f t="shared" si="7"/>
        <v>7.5529744214711328E-2</v>
      </c>
      <c r="I42" s="1387">
        <f>SUM(I31:I40)/10</f>
        <v>4.8110846620870229E-2</v>
      </c>
      <c r="J42" s="830">
        <f>SUM(J31:J41)</f>
        <v>8323373486.5766258</v>
      </c>
      <c r="K42" s="831">
        <f>SUM(K31:K41)</f>
        <v>487587737.12312502</v>
      </c>
      <c r="L42" s="1387">
        <f>+K42/+J42</f>
        <v>5.8580542842331128E-2</v>
      </c>
      <c r="M42" s="1388">
        <f>SUM(M31:M40)/10</f>
        <v>2.8830778894810116E-2</v>
      </c>
      <c r="O42" s="1164"/>
      <c r="P42" s="14"/>
      <c r="AB42" s="1189" t="s">
        <v>135</v>
      </c>
      <c r="AC42" s="1189" t="s">
        <v>136</v>
      </c>
    </row>
    <row r="43" spans="1:29" ht="15.95" customHeight="1" thickBot="1" x14ac:dyDescent="0.3">
      <c r="B43" s="827"/>
      <c r="C43" s="275"/>
      <c r="D43" s="275"/>
      <c r="E43" s="1472"/>
      <c r="F43" s="110"/>
      <c r="G43" s="522"/>
      <c r="H43" s="1156"/>
      <c r="I43" s="1157"/>
      <c r="J43" s="110"/>
      <c r="K43" s="246"/>
      <c r="L43" s="110"/>
      <c r="M43" s="110"/>
      <c r="O43" s="1162"/>
      <c r="P43" s="14"/>
      <c r="AA43" s="1190">
        <v>2023</v>
      </c>
      <c r="AB43" s="1189"/>
      <c r="AC43" s="1191">
        <v>1.3496999999999999</v>
      </c>
    </row>
    <row r="44" spans="1:29" ht="15.75" thickBot="1" x14ac:dyDescent="0.3">
      <c r="A44" s="1489" t="s">
        <v>209</v>
      </c>
      <c r="B44" s="1490"/>
      <c r="C44" s="821">
        <f>SUM(C31:C40)/10</f>
        <v>5809781082.7067404</v>
      </c>
      <c r="D44" s="821">
        <f>SUM(D31:D40)/10</f>
        <v>378331937.65469003</v>
      </c>
      <c r="E44" s="1167">
        <f>SUM(E31:E40)/10</f>
        <v>5.785430280498699E-2</v>
      </c>
      <c r="F44" s="823">
        <f>SUM(F31:F40)/9</f>
        <v>914172457.62183332</v>
      </c>
      <c r="G44" s="823">
        <f>SUM(G31:G40)/9</f>
        <v>69047211.892311111</v>
      </c>
      <c r="H44" s="1153"/>
      <c r="I44" s="1152"/>
      <c r="J44" s="1160">
        <f>SUM(J31:J40)/10</f>
        <v>832337348.65766263</v>
      </c>
      <c r="K44" s="1160">
        <f>SUM(K31:K40)/10</f>
        <v>48758773.712312505</v>
      </c>
      <c r="L44" s="1167">
        <f>SUM(L31:L40)/10</f>
        <v>5.4908061130345451E-2</v>
      </c>
      <c r="M44" s="1167">
        <f>SUM(M31:M40)/10</f>
        <v>2.8830778894810116E-2</v>
      </c>
      <c r="O44" s="275"/>
      <c r="P44" s="14"/>
      <c r="AA44" s="1098">
        <v>2022</v>
      </c>
      <c r="AB44" s="110"/>
      <c r="AC44" s="1192">
        <v>1.2944</v>
      </c>
    </row>
    <row r="45" spans="1:29" x14ac:dyDescent="0.25">
      <c r="A45" s="305"/>
      <c r="C45" s="1404"/>
      <c r="D45" s="1404"/>
      <c r="E45" s="307"/>
      <c r="F45" s="307"/>
      <c r="G45" s="307"/>
      <c r="L45" s="14"/>
      <c r="O45" s="822"/>
      <c r="AA45" s="532">
        <v>2021</v>
      </c>
      <c r="AB45" s="110"/>
      <c r="AC45" s="1192">
        <f>+(1.3387+1.4055+1.3954+1.3785+1.3562+1.3421+1.3043+1.3326+1.3333+1.3016+1.2739+1.278)/12</f>
        <v>1.3366749999999998</v>
      </c>
    </row>
    <row r="46" spans="1:29" x14ac:dyDescent="0.25">
      <c r="A46" s="283"/>
      <c r="C46" s="1110"/>
      <c r="D46" s="1409"/>
      <c r="F46" s="205"/>
      <c r="G46" s="1549"/>
      <c r="H46" s="1550"/>
      <c r="L46" s="14"/>
      <c r="M46" s="374"/>
      <c r="AA46" s="411">
        <v>2020</v>
      </c>
      <c r="AB46" s="110"/>
      <c r="AC46" s="1192">
        <v>1.3414999999999999</v>
      </c>
    </row>
    <row r="47" spans="1:29" x14ac:dyDescent="0.25">
      <c r="A47" s="283"/>
      <c r="D47" s="36"/>
      <c r="F47" s="1544" t="s">
        <v>205</v>
      </c>
      <c r="G47" s="824"/>
      <c r="H47" s="373"/>
      <c r="L47" s="14"/>
      <c r="M47" s="374"/>
      <c r="R47" s="158"/>
      <c r="AA47" s="411">
        <v>2019</v>
      </c>
      <c r="AB47" s="110"/>
      <c r="AC47" s="1192">
        <v>1.26</v>
      </c>
    </row>
    <row r="48" spans="1:29" x14ac:dyDescent="0.25">
      <c r="A48" s="35"/>
      <c r="B48" s="283"/>
      <c r="C48" s="35"/>
      <c r="D48" s="283"/>
      <c r="F48" s="1544"/>
      <c r="G48" s="824"/>
      <c r="I48" s="107"/>
      <c r="L48" s="14"/>
      <c r="M48" s="14"/>
      <c r="AA48" s="411">
        <v>2018</v>
      </c>
      <c r="AB48" s="110">
        <v>0.77180000000000004</v>
      </c>
      <c r="AC48" s="1192">
        <v>1.2957000000000001</v>
      </c>
    </row>
    <row r="49" spans="1:37" x14ac:dyDescent="0.25">
      <c r="A49" s="35"/>
      <c r="B49" s="283"/>
      <c r="C49" s="35"/>
      <c r="D49" s="35"/>
      <c r="F49" s="1544"/>
      <c r="G49" s="35"/>
      <c r="I49" s="374"/>
      <c r="L49" s="14"/>
      <c r="M49" s="14"/>
      <c r="AA49" s="411">
        <v>2017</v>
      </c>
      <c r="AB49" s="110">
        <v>0.77010000000000001</v>
      </c>
      <c r="AC49" s="1192">
        <v>1.2986</v>
      </c>
    </row>
    <row r="50" spans="1:37" x14ac:dyDescent="0.25">
      <c r="A50" s="35"/>
      <c r="B50" s="283"/>
      <c r="C50" s="35"/>
      <c r="D50" s="35"/>
      <c r="F50" s="1544"/>
      <c r="G50" s="35"/>
      <c r="I50" s="374"/>
      <c r="L50" s="14"/>
      <c r="M50" s="14"/>
      <c r="AA50" s="411">
        <v>2016</v>
      </c>
      <c r="AB50" s="110">
        <v>0.75480000000000003</v>
      </c>
      <c r="AC50" s="1192">
        <v>1.3248</v>
      </c>
    </row>
    <row r="51" spans="1:37" x14ac:dyDescent="0.25">
      <c r="A51" s="35"/>
      <c r="B51" s="283"/>
      <c r="C51" s="35"/>
      <c r="D51" s="35"/>
      <c r="F51" s="1544"/>
      <c r="G51" s="35"/>
      <c r="I51" s="374"/>
      <c r="L51" s="14"/>
      <c r="M51" s="14"/>
      <c r="AA51" s="411">
        <v>2015</v>
      </c>
      <c r="AB51" s="110">
        <v>0.78200000000000003</v>
      </c>
      <c r="AC51" s="1192">
        <v>1.2786999999999999</v>
      </c>
    </row>
    <row r="52" spans="1:37" x14ac:dyDescent="0.25">
      <c r="A52" s="35"/>
      <c r="B52" s="283"/>
      <c r="C52" s="35"/>
      <c r="D52" s="35"/>
      <c r="F52" s="1544"/>
      <c r="G52" s="35"/>
      <c r="I52" s="374"/>
      <c r="AA52" s="411">
        <v>2014</v>
      </c>
      <c r="AB52" s="110">
        <v>0.90539999999999998</v>
      </c>
      <c r="AC52" s="1192">
        <v>1.111</v>
      </c>
    </row>
    <row r="53" spans="1:37" ht="15.75" thickBot="1" x14ac:dyDescent="0.3">
      <c r="A53" s="35"/>
      <c r="B53" s="283"/>
      <c r="C53" s="35"/>
      <c r="D53" s="35"/>
      <c r="F53" s="35"/>
      <c r="G53" s="35"/>
      <c r="I53" s="374"/>
      <c r="AB53" s="14"/>
      <c r="AC53" s="14"/>
    </row>
    <row r="54" spans="1:37" x14ac:dyDescent="0.25">
      <c r="A54" s="35"/>
      <c r="B54" s="283"/>
      <c r="C54" s="35"/>
      <c r="D54" s="35"/>
      <c r="F54" s="35"/>
      <c r="G54" s="35"/>
      <c r="I54" s="374"/>
      <c r="AA54" s="409" t="s">
        <v>137</v>
      </c>
      <c r="AB54" s="410" t="s">
        <v>138</v>
      </c>
      <c r="AC54" s="307"/>
    </row>
    <row r="55" spans="1:37" ht="15.75" thickBot="1" x14ac:dyDescent="0.3">
      <c r="A55" s="35"/>
      <c r="B55" s="283"/>
      <c r="C55" s="35"/>
      <c r="D55" s="35"/>
      <c r="F55" s="35"/>
      <c r="G55" s="35"/>
      <c r="I55" s="374"/>
      <c r="AA55" s="400">
        <v>1</v>
      </c>
      <c r="AB55" s="401">
        <v>1.0160469999999999</v>
      </c>
      <c r="AC55" s="14"/>
    </row>
    <row r="56" spans="1:37" x14ac:dyDescent="0.25">
      <c r="A56" s="35"/>
      <c r="B56" s="283"/>
      <c r="C56" s="35"/>
      <c r="D56" s="35"/>
      <c r="F56" s="35"/>
      <c r="G56" s="35"/>
      <c r="I56" s="374"/>
    </row>
    <row r="57" spans="1:37" x14ac:dyDescent="0.25">
      <c r="A57" s="35"/>
      <c r="B57" s="283"/>
      <c r="C57" s="35"/>
      <c r="D57" s="35"/>
      <c r="F57" s="35"/>
      <c r="G57" s="35"/>
      <c r="I57" s="374"/>
    </row>
    <row r="58" spans="1:37" x14ac:dyDescent="0.25">
      <c r="A58" s="35"/>
      <c r="B58" s="283"/>
      <c r="C58" s="35"/>
      <c r="D58" s="35"/>
      <c r="F58" s="35"/>
      <c r="G58" s="35"/>
      <c r="I58" s="374"/>
    </row>
    <row r="59" spans="1:37" x14ac:dyDescent="0.25">
      <c r="A59" s="35"/>
      <c r="B59" s="283"/>
      <c r="C59" s="35"/>
      <c r="D59" s="35"/>
      <c r="F59" s="35"/>
      <c r="G59" s="35"/>
      <c r="I59" s="374"/>
    </row>
    <row r="60" spans="1:37" x14ac:dyDescent="0.25">
      <c r="A60" s="35"/>
      <c r="B60" s="283"/>
      <c r="C60" s="35"/>
      <c r="D60" s="35"/>
      <c r="F60" s="35"/>
      <c r="G60" s="35"/>
      <c r="I60" s="374"/>
      <c r="AK60" t="s">
        <v>115</v>
      </c>
    </row>
    <row r="61" spans="1:37" x14ac:dyDescent="0.25">
      <c r="A61" s="35"/>
      <c r="B61" s="283"/>
      <c r="C61" s="35"/>
      <c r="D61" s="35"/>
      <c r="F61" s="35"/>
      <c r="G61" s="35"/>
      <c r="I61" s="374"/>
    </row>
    <row r="62" spans="1:37" x14ac:dyDescent="0.25">
      <c r="A62" s="35"/>
      <c r="B62" s="283"/>
      <c r="C62" s="35"/>
      <c r="D62" s="35"/>
      <c r="F62" s="35"/>
      <c r="G62" s="35"/>
      <c r="I62" s="374"/>
    </row>
    <row r="63" spans="1:37" x14ac:dyDescent="0.25">
      <c r="A63" s="35"/>
      <c r="B63" s="283"/>
      <c r="C63" s="35"/>
      <c r="D63" s="35"/>
      <c r="F63" s="35"/>
      <c r="G63" s="35"/>
      <c r="I63" s="374"/>
    </row>
    <row r="64" spans="1:37" x14ac:dyDescent="0.25">
      <c r="A64" s="35"/>
      <c r="B64" s="283"/>
      <c r="C64" s="35"/>
      <c r="D64" s="35"/>
      <c r="F64" s="35"/>
      <c r="G64" s="35"/>
      <c r="I64" s="374"/>
    </row>
    <row r="65" spans="1:40" x14ac:dyDescent="0.25">
      <c r="A65" s="35"/>
      <c r="B65" s="283"/>
      <c r="C65" s="35"/>
      <c r="D65" s="35"/>
      <c r="F65" s="35"/>
      <c r="G65" s="431"/>
      <c r="I65" s="374"/>
      <c r="AA65" s="389" t="s">
        <v>160</v>
      </c>
      <c r="AB65" t="s">
        <v>153</v>
      </c>
      <c r="AC65" s="1099" t="s">
        <v>154</v>
      </c>
      <c r="AJ65" s="308"/>
      <c r="AK65" s="308"/>
      <c r="AL65" s="35"/>
    </row>
    <row r="66" spans="1:40" ht="15.75" thickBot="1" x14ac:dyDescent="0.3">
      <c r="A66" s="35"/>
      <c r="B66" s="35"/>
      <c r="C66" s="35"/>
      <c r="D66" s="35"/>
      <c r="F66" s="35"/>
      <c r="G66" s="283"/>
      <c r="I66" s="14"/>
      <c r="R66" s="158"/>
      <c r="T66" s="413"/>
      <c r="AB66" s="35"/>
      <c r="AC66" s="308"/>
      <c r="AD66" s="308"/>
      <c r="AE66" s="308"/>
      <c r="AF66" s="308"/>
      <c r="AG66" s="308"/>
      <c r="AH66" s="308"/>
      <c r="AI66" s="308"/>
      <c r="AJ66" s="308"/>
      <c r="AK66" s="308"/>
      <c r="AL66" s="35"/>
    </row>
    <row r="67" spans="1:40" ht="15.75" thickBot="1" x14ac:dyDescent="0.3">
      <c r="F67" t="s">
        <v>115</v>
      </c>
      <c r="R67" s="158"/>
      <c r="AB67" s="82" t="s">
        <v>152</v>
      </c>
      <c r="AC67" s="1107"/>
      <c r="AD67" s="1108">
        <v>2014</v>
      </c>
      <c r="AE67" s="1108">
        <v>2015</v>
      </c>
      <c r="AF67" s="1108">
        <v>2016</v>
      </c>
      <c r="AG67" s="1108">
        <v>2017</v>
      </c>
      <c r="AH67" s="1109">
        <v>2018</v>
      </c>
      <c r="AI67" s="390">
        <v>2019</v>
      </c>
      <c r="AJ67" s="388">
        <v>2020</v>
      </c>
      <c r="AK67" s="390">
        <v>2021</v>
      </c>
      <c r="AL67" s="388">
        <v>2022</v>
      </c>
      <c r="AM67" s="388">
        <v>2023</v>
      </c>
      <c r="AN67" s="388">
        <v>2024</v>
      </c>
    </row>
    <row r="68" spans="1:40" ht="27" thickBot="1" x14ac:dyDescent="0.45">
      <c r="A68" s="211" t="s">
        <v>116</v>
      </c>
      <c r="P68" s="158"/>
      <c r="R68" s="158"/>
      <c r="S68" s="158"/>
      <c r="AB68" s="301" t="s">
        <v>118</v>
      </c>
      <c r="AC68" s="292"/>
      <c r="AD68" s="293">
        <v>7976.43</v>
      </c>
      <c r="AE68" s="293">
        <v>7080.27</v>
      </c>
      <c r="AF68" s="293">
        <v>6353.61</v>
      </c>
      <c r="AG68" s="293">
        <v>7595.48</v>
      </c>
      <c r="AH68" s="386">
        <v>8785.9599999999991</v>
      </c>
      <c r="AI68" s="383">
        <v>7900.96</v>
      </c>
      <c r="AJ68" s="177">
        <v>7889.49</v>
      </c>
      <c r="AK68" s="437">
        <v>10142.209999999999</v>
      </c>
      <c r="AL68" s="1475">
        <v>12340.48</v>
      </c>
      <c r="AM68" s="288">
        <v>12135.02</v>
      </c>
      <c r="AN68" s="177">
        <v>11194.07</v>
      </c>
    </row>
    <row r="69" spans="1:40" ht="15.75" thickBot="1" x14ac:dyDescent="0.3">
      <c r="P69" s="158"/>
      <c r="R69" s="158"/>
      <c r="S69" s="158"/>
      <c r="X69" s="530"/>
      <c r="AB69" s="300" t="s">
        <v>119</v>
      </c>
      <c r="AC69" s="290"/>
      <c r="AD69" s="288">
        <v>7902.74</v>
      </c>
      <c r="AE69" s="288">
        <v>7164.71</v>
      </c>
      <c r="AF69" s="288">
        <v>6344.3</v>
      </c>
      <c r="AG69" s="288">
        <v>7785.46</v>
      </c>
      <c r="AH69" s="288">
        <v>8809.8799999999992</v>
      </c>
      <c r="AI69" s="384">
        <v>8320.16</v>
      </c>
      <c r="AJ69" s="177">
        <v>7552.13</v>
      </c>
      <c r="AK69" s="437">
        <v>10756.89</v>
      </c>
      <c r="AL69" s="376">
        <v>12646.78</v>
      </c>
      <c r="AM69" s="288">
        <v>12012.07</v>
      </c>
      <c r="AN69" s="177">
        <v>11212.35</v>
      </c>
    </row>
    <row r="70" spans="1:40" ht="15.75" thickBot="1" x14ac:dyDescent="0.3">
      <c r="A70" s="265"/>
      <c r="B70" s="266"/>
      <c r="C70" s="266"/>
      <c r="D70" s="266"/>
      <c r="E70" s="266"/>
      <c r="F70" s="266"/>
      <c r="G70" s="266"/>
      <c r="H70" s="266"/>
      <c r="I70" s="266"/>
      <c r="J70" s="266"/>
      <c r="K70" s="266"/>
      <c r="L70" s="266"/>
      <c r="M70" s="266"/>
      <c r="N70" s="266"/>
      <c r="O70" s="266"/>
      <c r="P70" s="266"/>
      <c r="Q70" s="266"/>
      <c r="R70" s="267"/>
      <c r="S70" s="266"/>
      <c r="T70" s="266"/>
      <c r="U70" s="402" t="s">
        <v>132</v>
      </c>
      <c r="AB70" s="297" t="s">
        <v>120</v>
      </c>
      <c r="AC70" s="290"/>
      <c r="AD70" s="288">
        <v>7390.74</v>
      </c>
      <c r="AE70" s="288">
        <v>7495.35</v>
      </c>
      <c r="AF70" s="288">
        <v>6551.99</v>
      </c>
      <c r="AG70" s="288">
        <v>7796.77</v>
      </c>
      <c r="AH70" s="288">
        <v>8793.81</v>
      </c>
      <c r="AI70" s="384">
        <v>8606.15</v>
      </c>
      <c r="AJ70" s="177">
        <v>7225.28</v>
      </c>
      <c r="AK70" s="437">
        <v>11295.32</v>
      </c>
      <c r="AL70" s="376">
        <v>12957.65</v>
      </c>
      <c r="AM70" s="288">
        <v>12118.34</v>
      </c>
      <c r="AN70" s="177">
        <v>11761.77</v>
      </c>
    </row>
    <row r="71" spans="1:40" ht="15.75" thickBot="1" x14ac:dyDescent="0.3">
      <c r="A71" s="310"/>
      <c r="B71" s="310"/>
      <c r="C71" s="310"/>
      <c r="D71" s="310"/>
      <c r="E71" s="310"/>
      <c r="F71" s="310"/>
      <c r="G71" s="310"/>
      <c r="H71" s="310"/>
      <c r="I71" s="310"/>
      <c r="J71" s="310"/>
      <c r="K71" s="310"/>
      <c r="L71" s="310"/>
      <c r="M71" s="310"/>
      <c r="N71" s="310"/>
      <c r="O71" s="310"/>
      <c r="P71" s="310"/>
      <c r="Q71" s="310"/>
      <c r="R71" s="311"/>
      <c r="S71" s="310"/>
      <c r="T71" s="310"/>
      <c r="AB71" s="297" t="s">
        <v>121</v>
      </c>
      <c r="AC71" s="290"/>
      <c r="AD71" s="288">
        <v>7335.1</v>
      </c>
      <c r="AE71" s="288">
        <v>7450.59</v>
      </c>
      <c r="AF71" s="288">
        <v>6246.16</v>
      </c>
      <c r="AG71" s="288">
        <v>7639.28</v>
      </c>
      <c r="AH71" s="288">
        <v>8719.4699999999993</v>
      </c>
      <c r="AI71" s="384">
        <v>8610.5300000000007</v>
      </c>
      <c r="AJ71" s="177">
        <v>7111.7</v>
      </c>
      <c r="AK71" s="437">
        <v>11649.96</v>
      </c>
      <c r="AL71" s="376">
        <v>12833.88</v>
      </c>
      <c r="AM71" s="288">
        <v>11880.33</v>
      </c>
      <c r="AN71" s="177">
        <v>12953.81</v>
      </c>
    </row>
    <row r="72" spans="1:40" ht="15.75" thickBot="1" x14ac:dyDescent="0.3">
      <c r="A72" s="78"/>
      <c r="B72" s="79"/>
      <c r="C72" s="1076" t="s">
        <v>0</v>
      </c>
      <c r="D72" s="1005" t="s">
        <v>5</v>
      </c>
      <c r="E72" s="1067" t="s">
        <v>1</v>
      </c>
      <c r="F72" s="1005" t="s">
        <v>3</v>
      </c>
      <c r="G72" s="1186" t="s">
        <v>21</v>
      </c>
      <c r="H72" s="1006" t="s">
        <v>175</v>
      </c>
      <c r="I72" s="1174" t="s">
        <v>4</v>
      </c>
      <c r="J72" s="838"/>
      <c r="K72" s="626"/>
      <c r="L72" s="626"/>
      <c r="M72" s="626"/>
      <c r="N72" s="626"/>
      <c r="O72" s="627"/>
      <c r="P72" s="85" t="s">
        <v>40</v>
      </c>
      <c r="Q72" s="85" t="s">
        <v>41</v>
      </c>
      <c r="R72" s="230" t="s">
        <v>114</v>
      </c>
      <c r="S72" s="87" t="s">
        <v>2</v>
      </c>
      <c r="T72" s="98" t="s">
        <v>42</v>
      </c>
      <c r="W72" s="158"/>
      <c r="AB72" s="297" t="s">
        <v>122</v>
      </c>
      <c r="AC72" s="290"/>
      <c r="AD72" s="288">
        <v>7508.37</v>
      </c>
      <c r="AE72" s="288">
        <v>7666.15</v>
      </c>
      <c r="AF72" s="288">
        <v>6072.93</v>
      </c>
      <c r="AG72" s="288">
        <v>7621.81</v>
      </c>
      <c r="AH72" s="288">
        <v>8782.2099999999991</v>
      </c>
      <c r="AI72" s="384">
        <v>8100.01</v>
      </c>
      <c r="AJ72" s="177">
        <v>7316.67</v>
      </c>
      <c r="AK72" s="437">
        <v>12342.57</v>
      </c>
      <c r="AL72" s="376">
        <v>12080.88</v>
      </c>
      <c r="AM72" s="288">
        <v>11103.73</v>
      </c>
      <c r="AN72" s="177">
        <v>13867.02</v>
      </c>
    </row>
    <row r="73" spans="1:40" x14ac:dyDescent="0.25">
      <c r="A73" s="13"/>
      <c r="B73" s="319">
        <v>2023</v>
      </c>
      <c r="C73" s="206"/>
      <c r="D73" s="1412">
        <v>329852</v>
      </c>
      <c r="E73" s="1182">
        <f>+$AM$176</f>
        <v>2622.3766666666666</v>
      </c>
      <c r="F73" s="553">
        <f>+D73*E73</f>
        <v>864996188.25333333</v>
      </c>
      <c r="G73" s="1221">
        <v>195929</v>
      </c>
      <c r="H73" s="879">
        <f>+$AM$196</f>
        <v>31.355833333333337</v>
      </c>
      <c r="I73" s="1175">
        <f>+G73*H73</f>
        <v>6143517.0691666678</v>
      </c>
      <c r="J73" s="81"/>
      <c r="K73" s="534"/>
      <c r="L73" s="534"/>
      <c r="M73" s="534"/>
      <c r="N73" s="534"/>
      <c r="O73" s="535"/>
      <c r="P73" s="1441">
        <v>664453542</v>
      </c>
      <c r="Q73" s="407">
        <f t="shared" ref="Q73:Q82" si="10">+S73/P73</f>
        <v>8.4469762673038767E-2</v>
      </c>
      <c r="R73" s="836">
        <f t="shared" ref="R73:R80" si="11">+F73+I73</f>
        <v>871139705.32249999</v>
      </c>
      <c r="S73" s="1442">
        <v>56126233</v>
      </c>
      <c r="T73" s="630">
        <f t="shared" ref="T73:T82" si="12">+S73/R73</f>
        <v>6.4428509752315566E-2</v>
      </c>
      <c r="W73" s="158"/>
      <c r="AB73" s="297" t="s">
        <v>123</v>
      </c>
      <c r="AC73" s="290"/>
      <c r="AD73" s="288">
        <v>7403.14</v>
      </c>
      <c r="AE73" s="288">
        <v>7210.13</v>
      </c>
      <c r="AF73" s="288">
        <v>5978.95</v>
      </c>
      <c r="AG73" s="288">
        <v>7623.44</v>
      </c>
      <c r="AH73" s="288">
        <v>9145.18</v>
      </c>
      <c r="AI73" s="384">
        <v>7816.03</v>
      </c>
      <c r="AJ73" s="177">
        <v>7791.49</v>
      </c>
      <c r="AK73" s="437">
        <v>11780.14</v>
      </c>
      <c r="AL73" s="376">
        <v>11509.8</v>
      </c>
      <c r="AM73" s="288">
        <v>11160.52</v>
      </c>
      <c r="AN73" s="177">
        <v>13222.12</v>
      </c>
    </row>
    <row r="74" spans="1:40" x14ac:dyDescent="0.25">
      <c r="A74" s="13"/>
      <c r="B74" s="319">
        <v>2022</v>
      </c>
      <c r="C74" s="206"/>
      <c r="D74" s="1412">
        <v>562990</v>
      </c>
      <c r="E74" s="1182">
        <f>+$AL$176</f>
        <v>2341.2400000000002</v>
      </c>
      <c r="F74" s="553">
        <f>+D74*E74</f>
        <v>1318094707.6000001</v>
      </c>
      <c r="G74" s="1416">
        <v>1244000</v>
      </c>
      <c r="H74" s="879">
        <f>+$AL$196</f>
        <v>28.558333333333337</v>
      </c>
      <c r="I74" s="1175">
        <f>+G74*H74</f>
        <v>35526566.666666672</v>
      </c>
      <c r="J74" s="81"/>
      <c r="K74" s="534"/>
      <c r="L74" s="534"/>
      <c r="M74" s="534"/>
      <c r="N74" s="534"/>
      <c r="O74" s="535"/>
      <c r="P74" s="1440">
        <v>1136730757</v>
      </c>
      <c r="Q74" s="406">
        <f t="shared" si="10"/>
        <v>7.0956405906416414E-2</v>
      </c>
      <c r="R74" s="625">
        <f t="shared" si="11"/>
        <v>1353621274.2666669</v>
      </c>
      <c r="S74" s="847">
        <v>80658329</v>
      </c>
      <c r="T74" s="630">
        <f t="shared" si="12"/>
        <v>5.9587072494629023E-2</v>
      </c>
      <c r="W74" s="158"/>
      <c r="AB74" s="297" t="s">
        <v>124</v>
      </c>
      <c r="AC74" s="290"/>
      <c r="AD74" s="288">
        <v>7642.58</v>
      </c>
      <c r="AE74" s="288">
        <v>7031.65</v>
      </c>
      <c r="AF74" s="288">
        <v>6354.12</v>
      </c>
      <c r="AG74" s="288">
        <v>7599.06</v>
      </c>
      <c r="AH74" s="288">
        <v>8206.48</v>
      </c>
      <c r="AI74" s="384">
        <v>7782.13</v>
      </c>
      <c r="AJ74" s="177">
        <v>8597.9</v>
      </c>
      <c r="AK74" s="437">
        <v>11858.74</v>
      </c>
      <c r="AL74" s="376">
        <v>9762.67</v>
      </c>
      <c r="AM74" s="288">
        <v>11201.4</v>
      </c>
      <c r="AN74" s="177">
        <v>12872.94</v>
      </c>
    </row>
    <row r="75" spans="1:40" x14ac:dyDescent="0.25">
      <c r="A75" s="13"/>
      <c r="B75" s="319">
        <v>2021</v>
      </c>
      <c r="C75" s="206"/>
      <c r="D75" s="1412">
        <v>716078</v>
      </c>
      <c r="E75" s="1182">
        <f>+$AK$176</f>
        <v>2256.1483333333331</v>
      </c>
      <c r="F75" s="553">
        <f>+D75*E75</f>
        <v>1615578186.2366664</v>
      </c>
      <c r="G75" s="1416">
        <v>575840</v>
      </c>
      <c r="H75" s="879">
        <f>+$AK$196</f>
        <v>32.092500000000001</v>
      </c>
      <c r="I75" s="1175">
        <f>+G75*H75</f>
        <v>18480145.199999999</v>
      </c>
      <c r="J75" s="882"/>
      <c r="K75" s="541"/>
      <c r="L75" s="541"/>
      <c r="M75" s="541"/>
      <c r="N75" s="541"/>
      <c r="O75" s="542"/>
      <c r="P75" s="844">
        <v>1219278311</v>
      </c>
      <c r="Q75" s="406">
        <f t="shared" si="10"/>
        <v>0.10120058881290148</v>
      </c>
      <c r="R75" s="625">
        <f t="shared" si="11"/>
        <v>1634058331.4366665</v>
      </c>
      <c r="S75" s="846">
        <v>123391683</v>
      </c>
      <c r="T75" s="630">
        <f t="shared" si="12"/>
        <v>7.5512410191326429E-2</v>
      </c>
      <c r="U75" s="36"/>
      <c r="W75" s="158"/>
      <c r="AB75" s="297" t="s">
        <v>125</v>
      </c>
      <c r="AC75" s="290"/>
      <c r="AD75" s="288">
        <v>7651.09</v>
      </c>
      <c r="AE75" s="288">
        <v>6741.29</v>
      </c>
      <c r="AF75" s="288">
        <v>6171.56</v>
      </c>
      <c r="AG75" s="288">
        <v>8177.21</v>
      </c>
      <c r="AH75" s="288">
        <v>7890.89</v>
      </c>
      <c r="AI75" s="384">
        <v>7580.2</v>
      </c>
      <c r="AJ75" s="177">
        <v>8600.0499999999993</v>
      </c>
      <c r="AK75" s="437">
        <v>11810.08</v>
      </c>
      <c r="AL75" s="376">
        <v>10306.68</v>
      </c>
      <c r="AM75" s="288">
        <v>11257.29</v>
      </c>
      <c r="AN75" s="177">
        <v>12248.18</v>
      </c>
    </row>
    <row r="76" spans="1:40" x14ac:dyDescent="0.25">
      <c r="A76" s="13"/>
      <c r="B76" s="76">
        <v>2020</v>
      </c>
      <c r="C76" s="1181"/>
      <c r="D76" s="1413">
        <v>565926</v>
      </c>
      <c r="E76" s="1183">
        <f>+$AJ$176</f>
        <v>2372.0100000000002</v>
      </c>
      <c r="F76" s="607">
        <f t="shared" ref="F76:F82" si="13">+D76*E76</f>
        <v>1342382131.2600002</v>
      </c>
      <c r="G76" s="1417">
        <v>700796</v>
      </c>
      <c r="H76" s="880">
        <f>+AJ$196</f>
        <v>25.967500000000001</v>
      </c>
      <c r="I76" s="1176">
        <f t="shared" ref="I76:I82" si="14">+G76*H76</f>
        <v>18197920.129999999</v>
      </c>
      <c r="J76" s="81"/>
      <c r="K76" s="534"/>
      <c r="L76" s="534"/>
      <c r="M76" s="534"/>
      <c r="N76" s="534"/>
      <c r="O76" s="535"/>
      <c r="P76" s="523">
        <v>974497896</v>
      </c>
      <c r="Q76" s="406">
        <f t="shared" si="10"/>
        <v>9.0170564103506282E-2</v>
      </c>
      <c r="R76" s="538">
        <f t="shared" si="11"/>
        <v>1360580051.3900003</v>
      </c>
      <c r="S76" s="847">
        <v>87871025</v>
      </c>
      <c r="T76" s="630">
        <f t="shared" si="12"/>
        <v>6.4583502389461686E-2</v>
      </c>
      <c r="W76" s="158"/>
      <c r="AB76" s="297" t="s">
        <v>126</v>
      </c>
      <c r="AC76" s="290"/>
      <c r="AD76" s="288">
        <v>7560.82</v>
      </c>
      <c r="AE76" s="288">
        <v>6921.7</v>
      </c>
      <c r="AF76" s="288">
        <v>6189.98</v>
      </c>
      <c r="AG76" s="288">
        <v>8072.82</v>
      </c>
      <c r="AH76" s="288">
        <v>7892.15</v>
      </c>
      <c r="AI76" s="384">
        <v>7625.54</v>
      </c>
      <c r="AJ76" s="177">
        <v>8875.7000000000007</v>
      </c>
      <c r="AK76" s="437">
        <v>11829.88</v>
      </c>
      <c r="AL76" s="376">
        <v>10317.93</v>
      </c>
      <c r="AM76" s="288">
        <v>11212.99</v>
      </c>
      <c r="AN76" s="177">
        <v>12513.29</v>
      </c>
    </row>
    <row r="77" spans="1:40" x14ac:dyDescent="0.25">
      <c r="A77" s="13"/>
      <c r="B77" s="76">
        <v>2019</v>
      </c>
      <c r="C77" s="425"/>
      <c r="D77" s="1414">
        <v>668059</v>
      </c>
      <c r="E77" s="1183">
        <f>+$AI$176</f>
        <v>1840.5</v>
      </c>
      <c r="F77" s="593">
        <f t="shared" si="13"/>
        <v>1229562589.5</v>
      </c>
      <c r="G77" s="1418">
        <v>825928</v>
      </c>
      <c r="H77" s="881">
        <f>+AI$196</f>
        <v>21.444166666666664</v>
      </c>
      <c r="I77" s="1177">
        <f t="shared" si="14"/>
        <v>17711337.686666664</v>
      </c>
      <c r="J77" s="26"/>
      <c r="K77" s="110"/>
      <c r="L77" s="110"/>
      <c r="M77" s="110"/>
      <c r="N77" s="110"/>
      <c r="O77" s="170"/>
      <c r="P77" s="537">
        <v>828223323</v>
      </c>
      <c r="Q77" s="406">
        <f t="shared" si="10"/>
        <v>8.5483142087270106E-2</v>
      </c>
      <c r="R77" s="538">
        <f t="shared" si="11"/>
        <v>1247273927.1866667</v>
      </c>
      <c r="S77" s="848">
        <v>70799132</v>
      </c>
      <c r="T77" s="630">
        <f t="shared" si="12"/>
        <v>5.6763097870323895E-2</v>
      </c>
      <c r="V77" s="158"/>
      <c r="AB77" s="297" t="s">
        <v>127</v>
      </c>
      <c r="AC77" s="290"/>
      <c r="AD77" s="288">
        <v>7552.11</v>
      </c>
      <c r="AE77" s="288">
        <v>6818.82</v>
      </c>
      <c r="AF77" s="288">
        <v>6262.11</v>
      </c>
      <c r="AG77" s="288">
        <v>8561.73</v>
      </c>
      <c r="AH77" s="288">
        <v>8093.58</v>
      </c>
      <c r="AI77" s="384">
        <v>7594.85</v>
      </c>
      <c r="AJ77" s="177">
        <v>8872.11</v>
      </c>
      <c r="AK77" s="437">
        <v>12788.82</v>
      </c>
      <c r="AL77" s="376">
        <v>10482.43</v>
      </c>
      <c r="AM77" s="288">
        <v>10880.79</v>
      </c>
      <c r="AN77" s="177">
        <v>13089.92</v>
      </c>
    </row>
    <row r="78" spans="1:40" x14ac:dyDescent="0.25">
      <c r="A78" s="13"/>
      <c r="B78" s="76">
        <v>2018</v>
      </c>
      <c r="C78" s="425"/>
      <c r="D78" s="1414">
        <v>699307</v>
      </c>
      <c r="E78" s="1184">
        <f>+$AH$176</f>
        <v>1640.75</v>
      </c>
      <c r="F78" s="593">
        <f t="shared" si="13"/>
        <v>1147387960.25</v>
      </c>
      <c r="G78" s="1418">
        <v>866207</v>
      </c>
      <c r="H78" s="559">
        <f>+$AH$196</f>
        <v>20.309166666666666</v>
      </c>
      <c r="I78" s="1177">
        <f t="shared" si="14"/>
        <v>17591942.330833334</v>
      </c>
      <c r="J78" s="26"/>
      <c r="K78" s="110"/>
      <c r="L78" s="110"/>
      <c r="M78" s="110"/>
      <c r="N78" s="110"/>
      <c r="O78" s="170"/>
      <c r="P78" s="523">
        <v>763182564</v>
      </c>
      <c r="Q78" s="408">
        <f t="shared" si="10"/>
        <v>8.5169660663264313E-2</v>
      </c>
      <c r="R78" s="538">
        <f t="shared" si="11"/>
        <v>1164979902.5808334</v>
      </c>
      <c r="S78" s="320">
        <v>65000000</v>
      </c>
      <c r="T78" s="575">
        <f t="shared" si="12"/>
        <v>5.5794953935258899E-2</v>
      </c>
      <c r="AB78" s="297" t="s">
        <v>128</v>
      </c>
      <c r="AC78" s="290"/>
      <c r="AD78" s="288">
        <v>7599.06</v>
      </c>
      <c r="AE78" s="288">
        <v>6371.79</v>
      </c>
      <c r="AF78" s="288">
        <v>7321.37</v>
      </c>
      <c r="AG78" s="288">
        <v>8716.56</v>
      </c>
      <c r="AH78" s="288">
        <v>8177.8</v>
      </c>
      <c r="AI78" s="384">
        <v>7752.13</v>
      </c>
      <c r="AJ78" s="177">
        <v>9248.35</v>
      </c>
      <c r="AK78" s="437">
        <v>12188.82</v>
      </c>
      <c r="AL78" s="376">
        <v>10833.63</v>
      </c>
      <c r="AM78" s="288">
        <v>11235.25</v>
      </c>
      <c r="AN78" s="177">
        <v>12678.17</v>
      </c>
    </row>
    <row r="79" spans="1:40" ht="15.75" thickBot="1" x14ac:dyDescent="0.3">
      <c r="A79" s="13"/>
      <c r="B79" s="76">
        <v>2017</v>
      </c>
      <c r="C79" s="115"/>
      <c r="D79" s="1414">
        <v>629840</v>
      </c>
      <c r="E79" s="753">
        <f>+$AG$176</f>
        <v>1628.9166666666667</v>
      </c>
      <c r="F79" s="593">
        <f t="shared" si="13"/>
        <v>1025956873.3333334</v>
      </c>
      <c r="G79" s="1179">
        <v>673937</v>
      </c>
      <c r="H79" s="560">
        <f>+$AG$196</f>
        <v>22.250833333333333</v>
      </c>
      <c r="I79" s="1177">
        <f t="shared" si="14"/>
        <v>14995659.864166666</v>
      </c>
      <c r="J79" s="551"/>
      <c r="K79" s="10"/>
      <c r="L79" s="10"/>
      <c r="M79" s="10"/>
      <c r="N79" s="10"/>
      <c r="O79" s="56"/>
      <c r="P79" s="234">
        <v>613407541</v>
      </c>
      <c r="Q79" s="408">
        <f t="shared" si="10"/>
        <v>9.5575497660861E-2</v>
      </c>
      <c r="R79" s="835">
        <f t="shared" si="11"/>
        <v>1040952533.1975</v>
      </c>
      <c r="S79" s="365">
        <v>58626731</v>
      </c>
      <c r="T79" s="575">
        <f t="shared" si="12"/>
        <v>5.6320273144363199E-2</v>
      </c>
      <c r="AB79" s="298" t="s">
        <v>129</v>
      </c>
      <c r="AC79" s="291"/>
      <c r="AD79" s="289">
        <v>7425.47</v>
      </c>
      <c r="AE79" s="289">
        <v>6357.36</v>
      </c>
      <c r="AF79" s="289">
        <v>7554.88</v>
      </c>
      <c r="AG79" s="289">
        <v>8736.77</v>
      </c>
      <c r="AH79" s="289">
        <v>8140.24</v>
      </c>
      <c r="AI79" s="981">
        <v>8015.64</v>
      </c>
      <c r="AJ79" s="378">
        <v>9958.5300000000007</v>
      </c>
      <c r="AK79" s="1102">
        <v>12215.3</v>
      </c>
      <c r="AL79" s="1476">
        <v>11389.16</v>
      </c>
      <c r="AM79" s="289">
        <v>11315.98</v>
      </c>
      <c r="AN79" s="1100"/>
    </row>
    <row r="80" spans="1:40" ht="15.75" thickBot="1" x14ac:dyDescent="0.3">
      <c r="A80" s="150" t="s">
        <v>20</v>
      </c>
      <c r="B80" s="76">
        <v>2016</v>
      </c>
      <c r="C80" s="114"/>
      <c r="D80" s="1414">
        <v>588793</v>
      </c>
      <c r="E80" s="753">
        <f>+$AF$176</f>
        <v>1667.6666666666667</v>
      </c>
      <c r="F80" s="593">
        <f t="shared" si="13"/>
        <v>981910459.66666675</v>
      </c>
      <c r="G80" s="1179">
        <v>677172</v>
      </c>
      <c r="H80" s="560">
        <f>+$AF$196</f>
        <v>22.529166666666669</v>
      </c>
      <c r="I80" s="1177">
        <f t="shared" si="14"/>
        <v>15256120.850000001</v>
      </c>
      <c r="J80" s="551"/>
      <c r="K80" s="10"/>
      <c r="L80" s="10"/>
      <c r="M80" s="10"/>
      <c r="N80" s="10"/>
      <c r="O80" s="56"/>
      <c r="P80" s="234">
        <v>399307021</v>
      </c>
      <c r="Q80" s="408">
        <f t="shared" si="10"/>
        <v>3.6062476346991154E-2</v>
      </c>
      <c r="R80" s="538">
        <f t="shared" si="11"/>
        <v>997166580.51666677</v>
      </c>
      <c r="S80" s="365">
        <v>14400000</v>
      </c>
      <c r="T80" s="575">
        <f t="shared" si="12"/>
        <v>1.4440917176083918E-2</v>
      </c>
      <c r="U80" s="273"/>
      <c r="AB80" s="304" t="s">
        <v>133</v>
      </c>
      <c r="AC80" s="1101"/>
      <c r="AD80" s="1103">
        <f t="shared" ref="AD80:AM80" si="15">SUM(AD68:AD79)/12</f>
        <v>7578.9708333333338</v>
      </c>
      <c r="AE80" s="302">
        <f t="shared" si="15"/>
        <v>7025.8175000000001</v>
      </c>
      <c r="AF80" s="302">
        <f t="shared" si="15"/>
        <v>6450.1633333333339</v>
      </c>
      <c r="AG80" s="302">
        <f t="shared" si="15"/>
        <v>7993.8658333333324</v>
      </c>
      <c r="AH80" s="303">
        <f t="shared" si="15"/>
        <v>8453.1374999999989</v>
      </c>
      <c r="AI80" s="303">
        <f t="shared" si="15"/>
        <v>7975.3608333333332</v>
      </c>
      <c r="AJ80" s="303">
        <f t="shared" si="15"/>
        <v>8253.2833333333328</v>
      </c>
      <c r="AK80" s="303">
        <f t="shared" si="15"/>
        <v>11721.560833333335</v>
      </c>
      <c r="AL80" s="1112">
        <f t="shared" si="15"/>
        <v>11455.164166666667</v>
      </c>
      <c r="AM80" s="1111">
        <f t="shared" si="15"/>
        <v>11459.475833333336</v>
      </c>
      <c r="AN80" s="82"/>
    </row>
    <row r="81" spans="1:40" x14ac:dyDescent="0.25">
      <c r="A81" s="13"/>
      <c r="B81" s="76">
        <v>2015</v>
      </c>
      <c r="C81" s="114"/>
      <c r="D81" s="1414">
        <v>574561</v>
      </c>
      <c r="E81" s="753">
        <f>+$AE$176</f>
        <v>1474.75</v>
      </c>
      <c r="F81" s="593">
        <f t="shared" si="13"/>
        <v>847333834.75</v>
      </c>
      <c r="G81" s="1179">
        <v>600183</v>
      </c>
      <c r="H81" s="560">
        <f>+$AE$196</f>
        <v>19.943333333333332</v>
      </c>
      <c r="I81" s="1177">
        <f t="shared" si="14"/>
        <v>11969649.629999999</v>
      </c>
      <c r="J81" s="551"/>
      <c r="K81" s="10"/>
      <c r="L81" s="10"/>
      <c r="M81" s="10"/>
      <c r="N81" s="10"/>
      <c r="O81" s="56"/>
      <c r="P81" s="235">
        <f>396525289*AC51</f>
        <v>507036887.04429996</v>
      </c>
      <c r="Q81" s="408">
        <f t="shared" si="10"/>
        <v>3.4449252995815867E-2</v>
      </c>
      <c r="R81" s="625">
        <f>(+F81+I81)*AC51</f>
        <v>1098791365.476706</v>
      </c>
      <c r="S81" s="365">
        <f>13660000*AC51</f>
        <v>17467042</v>
      </c>
      <c r="T81" s="575">
        <f t="shared" si="12"/>
        <v>1.5896595612964248E-2</v>
      </c>
      <c r="W81" s="1"/>
    </row>
    <row r="82" spans="1:40" ht="15.75" thickBot="1" x14ac:dyDescent="0.3">
      <c r="A82" s="18"/>
      <c r="B82" s="77">
        <v>2014</v>
      </c>
      <c r="C82" s="191"/>
      <c r="D82" s="1415">
        <v>543248</v>
      </c>
      <c r="E82" s="1185">
        <f>+$AD$176</f>
        <v>1392.9166666666667</v>
      </c>
      <c r="F82" s="595">
        <f t="shared" si="13"/>
        <v>756699193.33333337</v>
      </c>
      <c r="G82" s="1180">
        <v>558144</v>
      </c>
      <c r="H82" s="561">
        <f>+$AD$196</f>
        <v>20.659166666666664</v>
      </c>
      <c r="I82" s="1178">
        <f t="shared" si="14"/>
        <v>11530789.919999998</v>
      </c>
      <c r="J82" s="552"/>
      <c r="K82" s="25"/>
      <c r="L82" s="25"/>
      <c r="M82" s="25"/>
      <c r="N82" s="25"/>
      <c r="O82" s="57"/>
      <c r="P82" s="536">
        <v>446460339</v>
      </c>
      <c r="Q82" s="619">
        <f t="shared" si="10"/>
        <v>3.0596222792367678E-2</v>
      </c>
      <c r="R82" s="540">
        <f>+F82+I82</f>
        <v>768229983.25333333</v>
      </c>
      <c r="S82" s="547">
        <v>13660000</v>
      </c>
      <c r="T82" s="576">
        <f t="shared" si="12"/>
        <v>1.7781133641975342E-2</v>
      </c>
    </row>
    <row r="83" spans="1:40" ht="15.75" thickBot="1" x14ac:dyDescent="0.3">
      <c r="A83" s="1268"/>
      <c r="B83" s="1265"/>
      <c r="C83" s="1265"/>
      <c r="D83" s="1265"/>
      <c r="E83" s="1265"/>
      <c r="F83" s="1265"/>
      <c r="G83" s="1265"/>
      <c r="H83" s="1265"/>
      <c r="I83" s="1265"/>
      <c r="J83" s="1265"/>
      <c r="K83" s="1265" t="s">
        <v>141</v>
      </c>
      <c r="L83" s="1265" t="s">
        <v>115</v>
      </c>
      <c r="M83" s="1265"/>
      <c r="N83" s="1265"/>
      <c r="O83" s="1265"/>
      <c r="P83" s="1118">
        <f>SUM(P74:P82)</f>
        <v>6888124639.0443001</v>
      </c>
      <c r="Q83" s="1265"/>
      <c r="R83" s="1048"/>
      <c r="S83" s="1118">
        <f>SUM(S74:S82)</f>
        <v>531873942</v>
      </c>
      <c r="T83" s="1267"/>
      <c r="U83" s="36"/>
      <c r="AM83" s="1110"/>
    </row>
    <row r="84" spans="1:40" ht="15.75" thickBot="1" x14ac:dyDescent="0.3">
      <c r="A84" s="70"/>
      <c r="P84" s="275"/>
      <c r="R84" s="158"/>
      <c r="S84" s="275"/>
      <c r="U84" s="36"/>
    </row>
    <row r="85" spans="1:40" ht="15.75" thickBot="1" x14ac:dyDescent="0.3">
      <c r="A85" s="28"/>
      <c r="B85" s="1227"/>
      <c r="C85" s="1205" t="s">
        <v>6</v>
      </c>
      <c r="D85" s="50" t="s">
        <v>5</v>
      </c>
      <c r="E85" s="50" t="s">
        <v>1</v>
      </c>
      <c r="F85" s="50" t="s">
        <v>3</v>
      </c>
      <c r="G85" s="49" t="s">
        <v>21</v>
      </c>
      <c r="H85" s="1131" t="s">
        <v>175</v>
      </c>
      <c r="I85" s="1206" t="s">
        <v>4</v>
      </c>
      <c r="J85" s="1419" t="s">
        <v>13</v>
      </c>
      <c r="K85" s="1419" t="s">
        <v>14</v>
      </c>
      <c r="L85" s="1419" t="s">
        <v>4</v>
      </c>
      <c r="M85" s="98" t="s">
        <v>12</v>
      </c>
      <c r="N85" s="98" t="s">
        <v>15</v>
      </c>
      <c r="O85" s="1431" t="s">
        <v>4</v>
      </c>
      <c r="P85" s="1207" t="s">
        <v>40</v>
      </c>
      <c r="Q85" s="1208" t="s">
        <v>41</v>
      </c>
      <c r="R85" s="224" t="s">
        <v>113</v>
      </c>
      <c r="S85" s="98" t="s">
        <v>2</v>
      </c>
      <c r="T85" s="98" t="s">
        <v>42</v>
      </c>
      <c r="U85" s="1255"/>
    </row>
    <row r="86" spans="1:40" x14ac:dyDescent="0.25">
      <c r="A86" s="29"/>
      <c r="B86" s="1228">
        <v>2023</v>
      </c>
      <c r="C86" s="1092"/>
      <c r="D86" s="584">
        <v>235161</v>
      </c>
      <c r="E86" s="1182">
        <f>+$AM$176</f>
        <v>2622.3766666666666</v>
      </c>
      <c r="F86" s="553">
        <f>+D86*E86</f>
        <v>616680719.30999994</v>
      </c>
      <c r="G86" s="1221">
        <v>582893</v>
      </c>
      <c r="H86" s="879">
        <f>+$AM$196</f>
        <v>31.355833333333337</v>
      </c>
      <c r="I86" s="1176">
        <f t="shared" ref="I86:I89" si="16">+G86*H86</f>
        <v>18277095.759166669</v>
      </c>
      <c r="J86" s="1446">
        <v>7788</v>
      </c>
      <c r="K86" s="1420">
        <f>+$AM$155</f>
        <v>3581.0416666666661</v>
      </c>
      <c r="L86" s="1421">
        <f t="shared" ref="L86:L95" si="17">+J86*K86</f>
        <v>27889152.499999996</v>
      </c>
      <c r="M86" s="1447">
        <v>2536</v>
      </c>
      <c r="N86" s="1432">
        <f>+$AM$80</f>
        <v>11459.475833333336</v>
      </c>
      <c r="O86" s="1433">
        <f t="shared" ref="O86:O95" si="18">+M86*N86</f>
        <v>29061230.713333338</v>
      </c>
      <c r="P86" s="1204">
        <f>417550703*AC43</f>
        <v>563568183.8391</v>
      </c>
      <c r="Q86" s="406">
        <f t="shared" ref="Q86:Q95" si="19">+S86/P86</f>
        <v>4.9520033977765804E-2</v>
      </c>
      <c r="R86" s="247">
        <f t="shared" ref="R86:R95" si="20">+(F86+I86+L86+O86)*AC43</f>
        <v>933868495.22189021</v>
      </c>
      <c r="S86" s="844">
        <f>20677125*AC43</f>
        <v>27907915.612499997</v>
      </c>
      <c r="T86" s="630">
        <f t="shared" ref="T86:T95" si="21">+S86/R86</f>
        <v>2.9884202920743123E-2</v>
      </c>
      <c r="U86" s="1256"/>
    </row>
    <row r="87" spans="1:40" x14ac:dyDescent="0.25">
      <c r="A87" s="29"/>
      <c r="B87" s="1228">
        <v>2022</v>
      </c>
      <c r="C87" s="113"/>
      <c r="D87" s="584">
        <v>288975</v>
      </c>
      <c r="E87" s="1182">
        <f>+$AL$176</f>
        <v>2341.2400000000002</v>
      </c>
      <c r="F87" s="553">
        <f>+D87*E87</f>
        <v>676559829.00000012</v>
      </c>
      <c r="G87" s="1221">
        <v>621409</v>
      </c>
      <c r="H87" s="879">
        <f>+$AL$196</f>
        <v>28.558333333333337</v>
      </c>
      <c r="I87" s="1176">
        <f t="shared" si="16"/>
        <v>17746405.358333334</v>
      </c>
      <c r="J87" s="1446">
        <v>8135</v>
      </c>
      <c r="K87" s="1420">
        <f>+$AL$155</f>
        <v>4518.475833333333</v>
      </c>
      <c r="L87" s="1421">
        <f t="shared" si="17"/>
        <v>36757800.904166661</v>
      </c>
      <c r="M87" s="1447">
        <v>2870</v>
      </c>
      <c r="N87" s="1432">
        <f>+$AL$80</f>
        <v>11455.164166666667</v>
      </c>
      <c r="O87" s="1433">
        <f t="shared" si="18"/>
        <v>32876321.158333335</v>
      </c>
      <c r="P87" s="458">
        <f>459648729*AC44</f>
        <v>594969314.81760001</v>
      </c>
      <c r="Q87" s="406">
        <f t="shared" si="19"/>
        <v>5.9670087763910688E-2</v>
      </c>
      <c r="R87" s="247">
        <f t="shared" si="20"/>
        <v>988844397.35112679</v>
      </c>
      <c r="S87" s="523">
        <f>27427280*AC44</f>
        <v>35501871.232000001</v>
      </c>
      <c r="T87" s="630">
        <f t="shared" si="21"/>
        <v>3.5902383961623145E-2</v>
      </c>
      <c r="U87" s="1256"/>
    </row>
    <row r="88" spans="1:40" x14ac:dyDescent="0.25">
      <c r="A88" s="29"/>
      <c r="B88" s="1229">
        <v>2021</v>
      </c>
      <c r="C88" s="1195"/>
      <c r="D88" s="685">
        <v>333464</v>
      </c>
      <c r="E88" s="1196">
        <f>+$AK$176</f>
        <v>2256.1483333333331</v>
      </c>
      <c r="F88" s="590">
        <f>+D88*E88</f>
        <v>752344247.82666659</v>
      </c>
      <c r="G88" s="1199">
        <v>721000</v>
      </c>
      <c r="H88" s="602">
        <f>+$AK$196</f>
        <v>32.092500000000001</v>
      </c>
      <c r="I88" s="1177">
        <f t="shared" si="16"/>
        <v>23138692.5</v>
      </c>
      <c r="J88" s="1422">
        <v>8938</v>
      </c>
      <c r="K88" s="1420">
        <f>+$AK$155</f>
        <v>3764.4091666666677</v>
      </c>
      <c r="L88" s="1421">
        <f t="shared" si="17"/>
        <v>33646289.131666675</v>
      </c>
      <c r="M88" s="1447">
        <v>2941</v>
      </c>
      <c r="N88" s="806">
        <f>+$AK$80</f>
        <v>11721.560833333335</v>
      </c>
      <c r="O88" s="1433">
        <f t="shared" si="18"/>
        <v>34473110.410833336</v>
      </c>
      <c r="P88" s="458">
        <f>571413445*AC45</f>
        <v>763794066.59537494</v>
      </c>
      <c r="Q88" s="406">
        <f t="shared" si="19"/>
        <v>7.9486750613647184E-2</v>
      </c>
      <c r="R88" s="247">
        <f t="shared" si="20"/>
        <v>1127622157.644618</v>
      </c>
      <c r="S88" s="316">
        <f>45419798*AC45</f>
        <v>60711508.491649993</v>
      </c>
      <c r="T88" s="630">
        <f t="shared" si="21"/>
        <v>5.3840294002792964E-2</v>
      </c>
      <c r="U88" s="1256"/>
    </row>
    <row r="89" spans="1:40" x14ac:dyDescent="0.25">
      <c r="A89" s="29"/>
      <c r="B89" s="1229">
        <v>2020</v>
      </c>
      <c r="C89" s="1195"/>
      <c r="D89" s="884">
        <v>281992</v>
      </c>
      <c r="E89" s="1197">
        <f>+$AJ$176</f>
        <v>2372.0100000000002</v>
      </c>
      <c r="F89" s="593">
        <f t="shared" ref="F89" si="22">+D89*E89</f>
        <v>668887843.92000008</v>
      </c>
      <c r="G89" s="1200">
        <v>685899</v>
      </c>
      <c r="H89" s="559">
        <f>+AJ$196</f>
        <v>25.967500000000001</v>
      </c>
      <c r="I89" s="1177">
        <f t="shared" si="16"/>
        <v>17811082.282500003</v>
      </c>
      <c r="J89" s="1423">
        <v>5010</v>
      </c>
      <c r="K89" s="1424">
        <f>+$AJ$155</f>
        <v>3029.9241666666662</v>
      </c>
      <c r="L89" s="1421">
        <f t="shared" si="17"/>
        <v>15179920.074999997</v>
      </c>
      <c r="M89" s="1448">
        <v>3062</v>
      </c>
      <c r="N89" s="806">
        <f>+$AJ$80</f>
        <v>8253.2833333333328</v>
      </c>
      <c r="O89" s="1433">
        <f t="shared" si="18"/>
        <v>25271553.566666666</v>
      </c>
      <c r="P89" s="458">
        <f>470558086*AC46</f>
        <v>631253672.36899996</v>
      </c>
      <c r="Q89" s="406">
        <f t="shared" si="19"/>
        <v>9.1892362040931957E-2</v>
      </c>
      <c r="R89" s="247">
        <f t="shared" si="20"/>
        <v>975472261.39094985</v>
      </c>
      <c r="S89" s="316">
        <f>43240694*AC46</f>
        <v>58007391.000999995</v>
      </c>
      <c r="T89" s="630">
        <f t="shared" si="21"/>
        <v>5.9465956436614439E-2</v>
      </c>
      <c r="U89" s="1256"/>
    </row>
    <row r="90" spans="1:40" x14ac:dyDescent="0.25">
      <c r="A90" s="29"/>
      <c r="B90" s="1229">
        <v>2019</v>
      </c>
      <c r="C90" s="1195"/>
      <c r="D90" s="685">
        <v>360698</v>
      </c>
      <c r="E90" s="1197">
        <f>+$AI$176</f>
        <v>1840.5</v>
      </c>
      <c r="F90" s="593">
        <f t="shared" ref="F90:F95" si="23">+D90*E90</f>
        <v>663864669</v>
      </c>
      <c r="G90" s="1199">
        <v>883000</v>
      </c>
      <c r="H90" s="559">
        <f>+AI$196</f>
        <v>21.444166666666664</v>
      </c>
      <c r="I90" s="1177">
        <f t="shared" ref="I90:I95" si="24">+G90*H90</f>
        <v>18935199.166666664</v>
      </c>
      <c r="J90" s="1423">
        <v>13098</v>
      </c>
      <c r="K90" s="1424">
        <f>+$AI$155</f>
        <v>3385.2758333333331</v>
      </c>
      <c r="L90" s="1421">
        <f t="shared" si="17"/>
        <v>44340342.864999995</v>
      </c>
      <c r="M90" s="1448">
        <v>3388</v>
      </c>
      <c r="N90" s="806">
        <f>+$AI$80</f>
        <v>7975.3608333333332</v>
      </c>
      <c r="O90" s="1433">
        <f t="shared" si="18"/>
        <v>27020522.503333334</v>
      </c>
      <c r="P90" s="573">
        <f>470014082*AC47</f>
        <v>592217743.32000005</v>
      </c>
      <c r="Q90" s="406">
        <f t="shared" si="19"/>
        <v>7.0960933464116929E-2</v>
      </c>
      <c r="R90" s="247">
        <f t="shared" si="20"/>
        <v>950242524.25409997</v>
      </c>
      <c r="S90" s="316">
        <f>33352638*AC47</f>
        <v>42024323.880000003</v>
      </c>
      <c r="T90" s="630">
        <f t="shared" si="21"/>
        <v>4.4224840298519912E-2</v>
      </c>
      <c r="U90" s="1256"/>
      <c r="AA90" s="389" t="s">
        <v>160</v>
      </c>
      <c r="AB90" t="s">
        <v>150</v>
      </c>
      <c r="AC90" s="1099" t="s">
        <v>151</v>
      </c>
    </row>
    <row r="91" spans="1:40" ht="15.75" thickBot="1" x14ac:dyDescent="0.3">
      <c r="A91" s="29"/>
      <c r="B91" s="1229">
        <v>2018</v>
      </c>
      <c r="C91" s="1195"/>
      <c r="D91" s="884">
        <v>400324.19416999997</v>
      </c>
      <c r="E91" s="1198">
        <f>+$AH$176</f>
        <v>1640.75</v>
      </c>
      <c r="F91" s="593">
        <f t="shared" si="23"/>
        <v>656831921.58442748</v>
      </c>
      <c r="G91" s="1200">
        <v>1260726.7</v>
      </c>
      <c r="H91" s="559">
        <f>+$AH$196</f>
        <v>20.309166666666666</v>
      </c>
      <c r="I91" s="1177">
        <f t="shared" si="24"/>
        <v>25604308.671416666</v>
      </c>
      <c r="J91" s="1425"/>
      <c r="K91" s="1426">
        <f>+$AH$155</f>
        <v>3770.6966666666663</v>
      </c>
      <c r="L91" s="1427">
        <f t="shared" si="17"/>
        <v>0</v>
      </c>
      <c r="M91" s="807">
        <v>4323</v>
      </c>
      <c r="N91" s="1432">
        <f>+$AH$80</f>
        <v>8453.1374999999989</v>
      </c>
      <c r="O91" s="1434">
        <f t="shared" si="18"/>
        <v>36542913.412499994</v>
      </c>
      <c r="P91" s="316">
        <f>446867018*AC48</f>
        <v>579005595.22259998</v>
      </c>
      <c r="Q91" s="406">
        <f t="shared" si="19"/>
        <v>4.8540814439789338E-2</v>
      </c>
      <c r="R91" s="247">
        <f t="shared" si="20"/>
        <v>931581276.45107353</v>
      </c>
      <c r="S91" s="316">
        <f>21691289*AC48</f>
        <v>28105403.157300003</v>
      </c>
      <c r="T91" s="360">
        <f t="shared" si="21"/>
        <v>3.0169566378974014E-2</v>
      </c>
      <c r="U91" s="1256"/>
    </row>
    <row r="92" spans="1:40" ht="15.75" thickBot="1" x14ac:dyDescent="0.3">
      <c r="A92" s="29"/>
      <c r="B92" s="1229">
        <v>2017</v>
      </c>
      <c r="C92" s="840"/>
      <c r="D92" s="587">
        <v>349948</v>
      </c>
      <c r="E92" s="753">
        <f>+$AG$176</f>
        <v>1628.9166666666667</v>
      </c>
      <c r="F92" s="593">
        <f t="shared" si="23"/>
        <v>570036129.66666675</v>
      </c>
      <c r="G92" s="1200">
        <v>1429636</v>
      </c>
      <c r="H92" s="560">
        <f>+$AG$196</f>
        <v>22.250833333333333</v>
      </c>
      <c r="I92" s="1177">
        <f t="shared" si="24"/>
        <v>31810592.363333333</v>
      </c>
      <c r="J92" s="1425"/>
      <c r="K92" s="1424">
        <f>+$AG$155</f>
        <v>3744.7549999999997</v>
      </c>
      <c r="L92" s="1427">
        <f t="shared" si="17"/>
        <v>0</v>
      </c>
      <c r="M92" s="807">
        <v>4779</v>
      </c>
      <c r="N92" s="806">
        <f>+$AG$80</f>
        <v>7993.8658333333324</v>
      </c>
      <c r="O92" s="1434">
        <f t="shared" si="18"/>
        <v>38202684.817499995</v>
      </c>
      <c r="P92" s="236">
        <f>409182798*AC49</f>
        <v>531364781.48280001</v>
      </c>
      <c r="Q92" s="407">
        <f t="shared" si="19"/>
        <v>4.8149697632205939E-2</v>
      </c>
      <c r="R92" s="247">
        <f t="shared" si="20"/>
        <v>831168159.73216355</v>
      </c>
      <c r="S92" s="214">
        <f>19702028*AC49</f>
        <v>25585053.560800001</v>
      </c>
      <c r="T92" s="575">
        <f t="shared" si="21"/>
        <v>3.0782042431755991E-2</v>
      </c>
      <c r="U92" s="1256"/>
      <c r="AB92" s="75" t="s">
        <v>149</v>
      </c>
      <c r="AC92" s="294"/>
      <c r="AD92" s="295">
        <v>2014</v>
      </c>
      <c r="AE92" s="295">
        <v>2015</v>
      </c>
      <c r="AF92" s="295">
        <v>2016</v>
      </c>
      <c r="AG92" s="295">
        <v>2017</v>
      </c>
      <c r="AH92" s="296">
        <v>2018</v>
      </c>
      <c r="AI92" s="390">
        <v>2019</v>
      </c>
      <c r="AJ92" s="388">
        <v>2020</v>
      </c>
      <c r="AK92" s="388">
        <v>2021</v>
      </c>
      <c r="AL92" s="388">
        <v>2022</v>
      </c>
      <c r="AM92" s="388">
        <v>2023</v>
      </c>
      <c r="AN92" s="388">
        <v>2024</v>
      </c>
    </row>
    <row r="93" spans="1:40" ht="15.75" thickBot="1" x14ac:dyDescent="0.3">
      <c r="A93" s="29"/>
      <c r="B93" s="1229">
        <v>2016</v>
      </c>
      <c r="C93" s="840"/>
      <c r="D93" s="587">
        <v>307007</v>
      </c>
      <c r="E93" s="753">
        <f>+$AF$176</f>
        <v>1667.6666666666667</v>
      </c>
      <c r="F93" s="593">
        <f t="shared" si="23"/>
        <v>511985340.33333337</v>
      </c>
      <c r="G93" s="1200">
        <v>1088134</v>
      </c>
      <c r="H93" s="560">
        <f>+$AF$196</f>
        <v>22.529166666666669</v>
      </c>
      <c r="I93" s="1177">
        <f t="shared" si="24"/>
        <v>24514752.241666667</v>
      </c>
      <c r="J93" s="1425">
        <v>3174</v>
      </c>
      <c r="K93" s="1424">
        <f>+$AF$155</f>
        <v>2739.9774999999995</v>
      </c>
      <c r="L93" s="1427">
        <f t="shared" si="17"/>
        <v>8696688.584999999</v>
      </c>
      <c r="M93" s="807">
        <v>4694</v>
      </c>
      <c r="N93" s="806">
        <f>+$AF$80</f>
        <v>6450.1633333333339</v>
      </c>
      <c r="O93" s="1434">
        <f t="shared" si="18"/>
        <v>30277066.686666667</v>
      </c>
      <c r="P93" s="236">
        <f>313815271*AC50</f>
        <v>415742471.02079999</v>
      </c>
      <c r="Q93" s="408">
        <f t="shared" si="19"/>
        <v>3.6617223767928107E-2</v>
      </c>
      <c r="R93" s="247">
        <f t="shared" si="20"/>
        <v>762387753.62726414</v>
      </c>
      <c r="S93" s="215">
        <f>11491044*AC50</f>
        <v>15223335.0912</v>
      </c>
      <c r="T93" s="575">
        <f t="shared" si="21"/>
        <v>1.996796907973784E-2</v>
      </c>
      <c r="U93" s="1256"/>
      <c r="AB93" s="301" t="s">
        <v>118</v>
      </c>
      <c r="AC93" s="292"/>
      <c r="AD93" s="293">
        <v>15245.92</v>
      </c>
      <c r="AE93" s="293">
        <v>18032</v>
      </c>
      <c r="AF93" s="293">
        <v>12087.34</v>
      </c>
      <c r="AG93" s="293">
        <v>13161.39</v>
      </c>
      <c r="AH93" s="386">
        <v>15996.71</v>
      </c>
      <c r="AI93" s="383">
        <v>15329.51</v>
      </c>
      <c r="AJ93" s="436">
        <v>17668.46</v>
      </c>
      <c r="AK93" s="177">
        <v>22725.63</v>
      </c>
      <c r="AL93" s="288">
        <v>28201.46</v>
      </c>
      <c r="AM93" s="288">
        <v>37856.160000000003</v>
      </c>
      <c r="AN93" s="288">
        <v>21617.71</v>
      </c>
    </row>
    <row r="94" spans="1:40" x14ac:dyDescent="0.25">
      <c r="A94" s="29"/>
      <c r="B94" s="1229">
        <v>2015</v>
      </c>
      <c r="C94" s="840"/>
      <c r="D94" s="587">
        <v>269303</v>
      </c>
      <c r="E94" s="753">
        <f>+$AE$176</f>
        <v>1474.75</v>
      </c>
      <c r="F94" s="593">
        <f t="shared" si="23"/>
        <v>397154599.25</v>
      </c>
      <c r="G94" s="1200">
        <v>1056</v>
      </c>
      <c r="H94" s="560">
        <f>+$AE$196</f>
        <v>19.943333333333332</v>
      </c>
      <c r="I94" s="1177">
        <f t="shared" si="24"/>
        <v>21060.16</v>
      </c>
      <c r="J94" s="1425">
        <v>4162</v>
      </c>
      <c r="K94" s="1424">
        <f>+$AE$155</f>
        <v>2759.771666666667</v>
      </c>
      <c r="L94" s="1427">
        <f t="shared" si="17"/>
        <v>11486169.676666668</v>
      </c>
      <c r="M94" s="807">
        <v>5262</v>
      </c>
      <c r="N94" s="806">
        <f>+$AE$80</f>
        <v>7025.8175000000001</v>
      </c>
      <c r="O94" s="1434">
        <f t="shared" si="18"/>
        <v>36969851.685000002</v>
      </c>
      <c r="P94" s="236">
        <f>243915041*AC51</f>
        <v>311894162.9267</v>
      </c>
      <c r="Q94" s="408">
        <f t="shared" si="19"/>
        <v>3.6066566309045291E-2</v>
      </c>
      <c r="R94" s="247">
        <f t="shared" si="20"/>
        <v>569829230.20273018</v>
      </c>
      <c r="S94" s="216">
        <f>8797178*AC51</f>
        <v>11248951.5086</v>
      </c>
      <c r="T94" s="575">
        <f t="shared" si="21"/>
        <v>1.9740916949097048E-2</v>
      </c>
      <c r="U94" s="1256"/>
      <c r="AB94" s="300" t="s">
        <v>119</v>
      </c>
      <c r="AC94" s="290"/>
      <c r="AD94" s="288">
        <v>15700.6</v>
      </c>
      <c r="AE94" s="288">
        <v>18225.23</v>
      </c>
      <c r="AF94" s="288">
        <v>11448.69</v>
      </c>
      <c r="AG94" s="288">
        <v>13947.86</v>
      </c>
      <c r="AH94" s="288">
        <v>17095.23</v>
      </c>
      <c r="AI94" s="384">
        <v>16751.580000000002</v>
      </c>
      <c r="AJ94" s="437">
        <v>16883.57</v>
      </c>
      <c r="AK94" s="177">
        <v>23599.52</v>
      </c>
      <c r="AL94" s="288">
        <v>30545.52</v>
      </c>
      <c r="AM94" s="288">
        <v>35926.230000000003</v>
      </c>
      <c r="AN94" s="288">
        <v>22058.23</v>
      </c>
    </row>
    <row r="95" spans="1:40" ht="15.75" thickBot="1" x14ac:dyDescent="0.3">
      <c r="A95" s="29"/>
      <c r="B95" s="1230">
        <v>2014</v>
      </c>
      <c r="C95" s="841"/>
      <c r="D95" s="588">
        <v>204877</v>
      </c>
      <c r="E95" s="1185">
        <f>+$AD$176</f>
        <v>1392.9166666666667</v>
      </c>
      <c r="F95" s="595">
        <f t="shared" si="23"/>
        <v>285376587.91666669</v>
      </c>
      <c r="G95" s="1201">
        <v>1275</v>
      </c>
      <c r="H95" s="561">
        <f>+$AD$196</f>
        <v>20.659166666666664</v>
      </c>
      <c r="I95" s="1178">
        <f t="shared" si="24"/>
        <v>26340.437499999996</v>
      </c>
      <c r="J95" s="1428">
        <v>10515</v>
      </c>
      <c r="K95" s="1429">
        <f>+$AD$155</f>
        <v>2387.4058333333332</v>
      </c>
      <c r="L95" s="1430">
        <f t="shared" si="17"/>
        <v>25103572.337499999</v>
      </c>
      <c r="M95" s="808">
        <v>4997</v>
      </c>
      <c r="N95" s="809">
        <f>+$AD$80</f>
        <v>7578.9708333333338</v>
      </c>
      <c r="O95" s="1435">
        <f t="shared" si="18"/>
        <v>37872117.25416667</v>
      </c>
      <c r="P95" s="574">
        <f>227569732*AC52</f>
        <v>252829972.252</v>
      </c>
      <c r="Q95" s="618">
        <f t="shared" si="19"/>
        <v>3.4316066250849209E-2</v>
      </c>
      <c r="R95" s="888">
        <f t="shared" si="20"/>
        <v>387048644.53782082</v>
      </c>
      <c r="S95" s="889">
        <f>7809298*AC52</f>
        <v>8676130.0779999997</v>
      </c>
      <c r="T95" s="576">
        <f t="shared" si="21"/>
        <v>2.2416123142248088E-2</v>
      </c>
      <c r="U95" s="1256"/>
      <c r="AB95" s="297" t="s">
        <v>120</v>
      </c>
      <c r="AC95" s="290"/>
      <c r="AD95" s="288">
        <v>17424.73</v>
      </c>
      <c r="AE95" s="288">
        <v>17358.25</v>
      </c>
      <c r="AF95" s="288">
        <v>11529.59</v>
      </c>
      <c r="AG95" s="288">
        <v>13659.81</v>
      </c>
      <c r="AH95" s="288">
        <v>17321.37</v>
      </c>
      <c r="AI95" s="384">
        <v>17409.22</v>
      </c>
      <c r="AJ95" s="437">
        <v>16515.22</v>
      </c>
      <c r="AK95" s="177">
        <v>20617.86</v>
      </c>
      <c r="AL95" s="288">
        <v>42965.75</v>
      </c>
      <c r="AM95" s="288">
        <v>31866.47</v>
      </c>
      <c r="AN95" s="288">
        <v>23605.53</v>
      </c>
    </row>
    <row r="96" spans="1:40" ht="15.75" thickBot="1" x14ac:dyDescent="0.3">
      <c r="A96" s="29"/>
      <c r="B96" s="14"/>
      <c r="C96" s="14"/>
      <c r="D96" s="14"/>
      <c r="E96" s="14"/>
      <c r="F96" s="14"/>
      <c r="G96" s="14"/>
      <c r="H96" s="14"/>
      <c r="I96" s="14"/>
      <c r="J96" s="14"/>
      <c r="K96" s="14"/>
      <c r="L96" s="14"/>
      <c r="M96" s="14"/>
      <c r="N96" s="14"/>
      <c r="O96" s="14"/>
      <c r="P96" s="312">
        <f>SUM(P87:P95)</f>
        <v>4673071780.006875</v>
      </c>
      <c r="Q96" s="14"/>
      <c r="R96" s="253"/>
      <c r="S96" s="778">
        <f>SUM(S87:S95)</f>
        <v>285083968.00054997</v>
      </c>
      <c r="T96" s="577"/>
      <c r="U96" s="1256"/>
      <c r="AB96" s="297" t="s">
        <v>121</v>
      </c>
      <c r="AC96" s="290"/>
      <c r="AD96" s="288">
        <v>19095.82</v>
      </c>
      <c r="AE96" s="288">
        <v>15821.99</v>
      </c>
      <c r="AF96" s="288">
        <v>11381.43</v>
      </c>
      <c r="AG96" s="288">
        <v>12915.07</v>
      </c>
      <c r="AH96" s="288">
        <v>17738.11</v>
      </c>
      <c r="AI96" s="384">
        <v>17082.07</v>
      </c>
      <c r="AJ96" s="437">
        <v>16596.900000000001</v>
      </c>
      <c r="AK96" s="177">
        <v>20640.82</v>
      </c>
      <c r="AL96" s="288">
        <v>41846.82</v>
      </c>
      <c r="AM96" s="288">
        <v>32224.07</v>
      </c>
      <c r="AN96" s="288">
        <v>24860.7</v>
      </c>
    </row>
    <row r="97" spans="1:40" ht="15.75" thickBot="1" x14ac:dyDescent="0.3">
      <c r="A97" s="29"/>
      <c r="B97" s="666"/>
      <c r="C97" s="52" t="s">
        <v>10</v>
      </c>
      <c r="D97" s="42" t="s">
        <v>5</v>
      </c>
      <c r="E97" s="42" t="s">
        <v>1</v>
      </c>
      <c r="F97" s="42" t="s">
        <v>3</v>
      </c>
      <c r="G97" s="43" t="s">
        <v>21</v>
      </c>
      <c r="H97" s="842" t="s">
        <v>175</v>
      </c>
      <c r="I97" s="43" t="s">
        <v>4</v>
      </c>
      <c r="J97" s="45"/>
      <c r="K97" s="45"/>
      <c r="L97" s="45"/>
      <c r="M97" s="45"/>
      <c r="N97" s="45"/>
      <c r="O97" s="58"/>
      <c r="P97" s="270" t="s">
        <v>40</v>
      </c>
      <c r="Q97" s="46" t="s">
        <v>41</v>
      </c>
      <c r="R97" s="230" t="s">
        <v>113</v>
      </c>
      <c r="S97" s="268" t="s">
        <v>2</v>
      </c>
      <c r="T97" s="44" t="s">
        <v>42</v>
      </c>
      <c r="U97" s="1256"/>
      <c r="AB97" s="297" t="s">
        <v>122</v>
      </c>
      <c r="AC97" s="290"/>
      <c r="AD97" s="288">
        <v>21138.83</v>
      </c>
      <c r="AE97" s="288">
        <v>16454.89</v>
      </c>
      <c r="AF97" s="288">
        <v>11203.16</v>
      </c>
      <c r="AG97" s="288">
        <v>12461.44</v>
      </c>
      <c r="AH97" s="288">
        <v>18485.64</v>
      </c>
      <c r="AI97" s="384">
        <v>16173.78</v>
      </c>
      <c r="AJ97" s="437">
        <v>17007.07</v>
      </c>
      <c r="AK97" s="177">
        <v>21348.83</v>
      </c>
      <c r="AL97" s="288">
        <v>36153.86</v>
      </c>
      <c r="AM97" s="288">
        <v>29687.16</v>
      </c>
      <c r="AN97" s="288">
        <v>26788.080000000002</v>
      </c>
    </row>
    <row r="98" spans="1:40" ht="15.75" thickBot="1" x14ac:dyDescent="0.3">
      <c r="A98" s="29"/>
      <c r="B98" s="531">
        <v>2023</v>
      </c>
      <c r="C98" s="486"/>
      <c r="D98" s="486"/>
      <c r="E98" s="486"/>
      <c r="F98" s="486"/>
      <c r="G98" s="486"/>
      <c r="H98" s="486"/>
      <c r="I98" s="486"/>
      <c r="J98" s="143"/>
      <c r="K98" s="141"/>
      <c r="L98" s="141"/>
      <c r="M98" s="141"/>
      <c r="N98" s="141"/>
      <c r="O98" s="142"/>
      <c r="P98" s="471"/>
      <c r="Q98" s="486"/>
      <c r="R98" s="487"/>
      <c r="S98" s="141"/>
      <c r="T98" s="834"/>
      <c r="U98" s="1256"/>
      <c r="AB98" s="297" t="s">
        <v>123</v>
      </c>
      <c r="AC98" s="290"/>
      <c r="AD98" s="288">
        <v>20218.29</v>
      </c>
      <c r="AE98" s="288">
        <v>15853.14</v>
      </c>
      <c r="AF98" s="288">
        <v>11499.89</v>
      </c>
      <c r="AG98" s="288">
        <v>11904.47</v>
      </c>
      <c r="AH98" s="288">
        <v>19831.560000000001</v>
      </c>
      <c r="AI98" s="384">
        <v>15870.54</v>
      </c>
      <c r="AJ98" s="437">
        <v>17232.03</v>
      </c>
      <c r="AK98" s="177">
        <v>21990.53</v>
      </c>
      <c r="AL98" s="288">
        <v>32725.02</v>
      </c>
      <c r="AM98" s="288">
        <v>28222.94</v>
      </c>
      <c r="AN98" s="288">
        <v>23979.759999999998</v>
      </c>
    </row>
    <row r="99" spans="1:40" ht="15.75" thickBot="1" x14ac:dyDescent="0.3">
      <c r="A99" s="29"/>
      <c r="B99" s="531">
        <v>2022</v>
      </c>
      <c r="C99" s="118"/>
      <c r="D99" s="118"/>
      <c r="E99" s="118"/>
      <c r="F99" s="118"/>
      <c r="G99" s="118"/>
      <c r="H99" s="464"/>
      <c r="I99" s="118"/>
      <c r="J99" s="143"/>
      <c r="K99" s="141"/>
      <c r="L99" s="141"/>
      <c r="M99" s="141"/>
      <c r="N99" s="141"/>
      <c r="O99" s="142"/>
      <c r="P99" s="471"/>
      <c r="Q99" s="486"/>
      <c r="R99" s="487"/>
      <c r="S99" s="1148"/>
      <c r="T99" s="834"/>
      <c r="U99" s="1256"/>
      <c r="AB99" s="297" t="s">
        <v>124</v>
      </c>
      <c r="AC99" s="290"/>
      <c r="AD99" s="288">
        <v>20539.91</v>
      </c>
      <c r="AE99" s="288">
        <v>14707.1</v>
      </c>
      <c r="AF99" s="288">
        <v>13404.48</v>
      </c>
      <c r="AG99" s="288">
        <v>12050.83</v>
      </c>
      <c r="AH99" s="288">
        <v>18109.669999999998</v>
      </c>
      <c r="AI99" s="384">
        <v>17743.740000000002</v>
      </c>
      <c r="AJ99" s="437">
        <v>18082.759999999998</v>
      </c>
      <c r="AK99" s="177">
        <v>23613.17</v>
      </c>
      <c r="AL99" s="288">
        <v>27796.68</v>
      </c>
      <c r="AM99" s="288">
        <v>27870.77</v>
      </c>
      <c r="AN99" s="288">
        <v>22405.01</v>
      </c>
    </row>
    <row r="100" spans="1:40" ht="15.75" thickBot="1" x14ac:dyDescent="0.3">
      <c r="A100" s="29"/>
      <c r="B100" s="531">
        <v>2021</v>
      </c>
      <c r="C100" s="118"/>
      <c r="D100" s="472"/>
      <c r="E100" s="472"/>
      <c r="F100" s="472"/>
      <c r="G100" s="472"/>
      <c r="H100" s="839"/>
      <c r="I100" s="472"/>
      <c r="J100" s="143"/>
      <c r="K100" s="141"/>
      <c r="L100" s="141"/>
      <c r="M100" s="141"/>
      <c r="N100" s="141"/>
      <c r="O100" s="142"/>
      <c r="P100" s="471"/>
      <c r="Q100" s="486"/>
      <c r="R100" s="487"/>
      <c r="S100" s="1148"/>
      <c r="T100" s="834"/>
      <c r="U100" s="1256"/>
      <c r="AB100" s="297" t="s">
        <v>125</v>
      </c>
      <c r="AC100" s="290"/>
      <c r="AD100" s="288">
        <v>20324.900000000001</v>
      </c>
      <c r="AE100" s="288">
        <v>13655.35</v>
      </c>
      <c r="AF100" s="288">
        <v>13424.58</v>
      </c>
      <c r="AG100" s="288">
        <v>13730.3</v>
      </c>
      <c r="AH100" s="288">
        <v>17489.099999999999</v>
      </c>
      <c r="AI100" s="384">
        <v>20908.84</v>
      </c>
      <c r="AJ100" s="437">
        <v>19237.8</v>
      </c>
      <c r="AK100" s="177">
        <v>24125.59</v>
      </c>
      <c r="AL100" s="288">
        <v>28481.97</v>
      </c>
      <c r="AM100" s="288">
        <v>27557.82</v>
      </c>
      <c r="AN100" s="288">
        <v>22241.38</v>
      </c>
    </row>
    <row r="101" spans="1:40" ht="15.75" thickBot="1" x14ac:dyDescent="0.3">
      <c r="A101" s="29"/>
      <c r="B101" s="209">
        <v>2020</v>
      </c>
      <c r="C101" s="118"/>
      <c r="D101" s="478"/>
      <c r="E101" s="894">
        <f>+$AJ$176</f>
        <v>2372.0100000000002</v>
      </c>
      <c r="F101" s="656">
        <f t="shared" ref="F101" si="25">+D101*E101</f>
        <v>0</v>
      </c>
      <c r="G101" s="478"/>
      <c r="H101" s="660">
        <f>+AJ$196</f>
        <v>25.967500000000001</v>
      </c>
      <c r="I101" s="656">
        <f t="shared" ref="I101" si="26">+G101*H101</f>
        <v>0</v>
      </c>
      <c r="J101" s="143"/>
      <c r="K101" s="141"/>
      <c r="L101" s="141"/>
      <c r="M101" s="141"/>
      <c r="N101" s="141"/>
      <c r="O101" s="142"/>
      <c r="P101" s="890"/>
      <c r="Q101" s="116"/>
      <c r="R101" s="891"/>
      <c r="S101" s="1149"/>
      <c r="T101" s="834"/>
      <c r="U101" s="1256"/>
      <c r="AB101" s="297" t="s">
        <v>126</v>
      </c>
      <c r="AC101" s="290"/>
      <c r="AD101" s="288">
        <v>19841.89</v>
      </c>
      <c r="AE101" s="288">
        <v>13184.1</v>
      </c>
      <c r="AF101" s="288">
        <v>13359.64</v>
      </c>
      <c r="AG101" s="288">
        <v>13766.26</v>
      </c>
      <c r="AH101" s="288">
        <v>16317.54</v>
      </c>
      <c r="AI101" s="384">
        <v>23378.59</v>
      </c>
      <c r="AJ101" s="437">
        <v>19667.8</v>
      </c>
      <c r="AK101" s="177">
        <v>24582.65</v>
      </c>
      <c r="AL101" s="288">
        <v>30335.65</v>
      </c>
      <c r="AM101" s="288">
        <v>26613.87</v>
      </c>
      <c r="AN101" s="288">
        <v>21777.89</v>
      </c>
    </row>
    <row r="102" spans="1:40" ht="15.75" thickBot="1" x14ac:dyDescent="0.3">
      <c r="A102" s="29"/>
      <c r="B102" s="209">
        <v>2019</v>
      </c>
      <c r="C102" s="579"/>
      <c r="D102" s="587">
        <v>3777</v>
      </c>
      <c r="E102" s="590">
        <f>+$AI$176</f>
        <v>1840.5</v>
      </c>
      <c r="F102" s="593">
        <f t="shared" ref="F102:F107" si="27">+D102*E102</f>
        <v>6951568.5</v>
      </c>
      <c r="G102" s="599">
        <v>2000</v>
      </c>
      <c r="H102" s="559">
        <f>+AI$196</f>
        <v>21.444166666666664</v>
      </c>
      <c r="I102" s="563">
        <f t="shared" ref="I102:I107" si="28">+G102*H102</f>
        <v>42888.333333333328</v>
      </c>
      <c r="J102" s="551"/>
      <c r="K102" s="10"/>
      <c r="L102" s="10"/>
      <c r="M102" s="10"/>
      <c r="N102" s="10"/>
      <c r="O102" s="56"/>
      <c r="P102" s="892">
        <f>4618542*AC47</f>
        <v>5819362.9199999999</v>
      </c>
      <c r="Q102" s="84">
        <f t="shared" ref="Q102:Q107" si="29">+S102/P102</f>
        <v>7.0960922299721424E-2</v>
      </c>
      <c r="R102" s="248">
        <f t="shared" ref="R102:R107" si="30">(+F102+I102)*AC47</f>
        <v>8813015.6099999994</v>
      </c>
      <c r="S102" s="217">
        <f>327736*AC47</f>
        <v>412947.36</v>
      </c>
      <c r="T102" s="326">
        <f t="shared" ref="T102:T107" si="31">+S102/R102</f>
        <v>4.6856533367697052E-2</v>
      </c>
      <c r="U102" s="1256"/>
      <c r="W102" s="11"/>
      <c r="AB102" s="297" t="s">
        <v>127</v>
      </c>
      <c r="AC102" s="290"/>
      <c r="AD102" s="288">
        <v>17724.240000000002</v>
      </c>
      <c r="AE102" s="288">
        <v>13486.85</v>
      </c>
      <c r="AF102" s="288">
        <v>13579.39</v>
      </c>
      <c r="AG102" s="288">
        <v>14256.68</v>
      </c>
      <c r="AH102" s="288">
        <v>16025.45</v>
      </c>
      <c r="AI102" s="384">
        <v>22486.84</v>
      </c>
      <c r="AJ102" s="437">
        <v>20138.38</v>
      </c>
      <c r="AK102" s="177">
        <v>24080.71</v>
      </c>
      <c r="AL102" s="288">
        <v>30186.36</v>
      </c>
      <c r="AM102" s="288">
        <v>25061.06</v>
      </c>
      <c r="AN102" s="288">
        <v>23019</v>
      </c>
    </row>
    <row r="103" spans="1:40" ht="15.75" thickBot="1" x14ac:dyDescent="0.3">
      <c r="A103" s="29"/>
      <c r="B103" s="209">
        <v>2018</v>
      </c>
      <c r="C103" s="581"/>
      <c r="D103" s="587">
        <v>34956.496299999999</v>
      </c>
      <c r="E103" s="554">
        <f>+$AH$176</f>
        <v>1640.75</v>
      </c>
      <c r="F103" s="593">
        <f t="shared" si="27"/>
        <v>57354871.304224998</v>
      </c>
      <c r="G103" s="599">
        <v>2575</v>
      </c>
      <c r="H103" s="559">
        <f>+$AH$196</f>
        <v>20.309166666666666</v>
      </c>
      <c r="I103" s="563">
        <f t="shared" si="28"/>
        <v>52296.104166666664</v>
      </c>
      <c r="J103" s="551"/>
      <c r="K103" s="10"/>
      <c r="L103" s="10"/>
      <c r="M103" s="10"/>
      <c r="N103" s="10"/>
      <c r="O103" s="56"/>
      <c r="P103" s="212">
        <f>28979195*AC48</f>
        <v>37548342.961500004</v>
      </c>
      <c r="Q103" s="84">
        <f t="shared" si="29"/>
        <v>4.8540823856563303E-2</v>
      </c>
      <c r="R103" s="256">
        <f t="shared" si="30"/>
        <v>74382466.811053082</v>
      </c>
      <c r="S103" s="220">
        <f>1406674*AC48</f>
        <v>1822627.5018000002</v>
      </c>
      <c r="T103" s="326">
        <f t="shared" si="31"/>
        <v>2.4503455988221696E-2</v>
      </c>
      <c r="U103" s="1256"/>
      <c r="W103" s="1"/>
      <c r="AB103" s="297" t="s">
        <v>128</v>
      </c>
      <c r="AC103" s="290"/>
      <c r="AD103" s="288">
        <v>17893.86</v>
      </c>
      <c r="AE103" s="288">
        <v>12271.69</v>
      </c>
      <c r="AF103" s="288">
        <v>14947.71</v>
      </c>
      <c r="AG103" s="288">
        <v>15286.58</v>
      </c>
      <c r="AH103" s="288">
        <v>14834.95</v>
      </c>
      <c r="AI103" s="384">
        <v>20070.79</v>
      </c>
      <c r="AJ103" s="437">
        <v>20681.46</v>
      </c>
      <c r="AK103" s="177">
        <v>24972.82</v>
      </c>
      <c r="AL103" s="288">
        <v>34402.68</v>
      </c>
      <c r="AM103" s="288">
        <v>23359.74</v>
      </c>
      <c r="AN103" s="288">
        <v>21964.03</v>
      </c>
    </row>
    <row r="104" spans="1:40" ht="15.75" thickBot="1" x14ac:dyDescent="0.3">
      <c r="A104" s="31" t="s">
        <v>16</v>
      </c>
      <c r="B104" s="209">
        <v>2017</v>
      </c>
      <c r="C104" s="76"/>
      <c r="D104" s="647">
        <v>50214</v>
      </c>
      <c r="E104" s="555">
        <f>+$AG$176</f>
        <v>1628.9166666666667</v>
      </c>
      <c r="F104" s="594">
        <f t="shared" si="27"/>
        <v>81794421.5</v>
      </c>
      <c r="G104" s="598">
        <v>2827</v>
      </c>
      <c r="H104" s="560">
        <f>+$AG$196</f>
        <v>22.250833333333333</v>
      </c>
      <c r="I104" s="604">
        <f t="shared" si="28"/>
        <v>62903.105833333328</v>
      </c>
      <c r="J104" s="862"/>
      <c r="K104" s="47"/>
      <c r="L104" s="47"/>
      <c r="M104" s="47"/>
      <c r="N104" s="47"/>
      <c r="O104" s="55"/>
      <c r="P104" s="220">
        <f>50961834*AC49</f>
        <v>66179037.632399999</v>
      </c>
      <c r="Q104" s="84">
        <f t="shared" si="29"/>
        <v>4.8149699636006037E-2</v>
      </c>
      <c r="R104" s="256">
        <f t="shared" si="30"/>
        <v>106299921.73313516</v>
      </c>
      <c r="S104" s="218">
        <f>2453797*AC49</f>
        <v>3186500.7842000001</v>
      </c>
      <c r="T104" s="326">
        <f t="shared" si="31"/>
        <v>2.9976511104116116E-2</v>
      </c>
      <c r="U104" s="1256"/>
      <c r="W104" s="11"/>
      <c r="AB104" s="298" t="s">
        <v>129</v>
      </c>
      <c r="AC104" s="291"/>
      <c r="AD104" s="289">
        <v>18386.21</v>
      </c>
      <c r="AE104" s="289">
        <v>11933.74</v>
      </c>
      <c r="AF104" s="289">
        <v>14625.32</v>
      </c>
      <c r="AG104" s="289">
        <v>14695.89</v>
      </c>
      <c r="AH104" s="387">
        <v>14517.78</v>
      </c>
      <c r="AI104" s="385">
        <v>18241.009999999998</v>
      </c>
      <c r="AJ104" s="438">
        <v>21555.26</v>
      </c>
      <c r="AK104" s="378">
        <v>25598.5</v>
      </c>
      <c r="AL104" s="289">
        <v>39362.89</v>
      </c>
      <c r="AM104" s="289">
        <v>22175.22</v>
      </c>
      <c r="AN104" s="289"/>
    </row>
    <row r="105" spans="1:40" ht="15.75" thickBot="1" x14ac:dyDescent="0.3">
      <c r="A105" s="104" t="s">
        <v>43</v>
      </c>
      <c r="B105" s="209">
        <v>2016</v>
      </c>
      <c r="C105" s="76"/>
      <c r="D105" s="587">
        <v>74169</v>
      </c>
      <c r="E105" s="555">
        <f>+$AF$176</f>
        <v>1667.6666666666667</v>
      </c>
      <c r="F105" s="593">
        <f t="shared" si="27"/>
        <v>123689169</v>
      </c>
      <c r="G105" s="599">
        <v>5433</v>
      </c>
      <c r="H105" s="560">
        <f>+$AF$196</f>
        <v>22.529166666666669</v>
      </c>
      <c r="I105" s="563">
        <f t="shared" si="28"/>
        <v>122400.96250000001</v>
      </c>
      <c r="J105" s="551"/>
      <c r="K105" s="10"/>
      <c r="L105" s="10"/>
      <c r="M105" s="10"/>
      <c r="N105" s="10"/>
      <c r="O105" s="56"/>
      <c r="P105" s="212">
        <f>74873528*AC50</f>
        <v>99192449.894400001</v>
      </c>
      <c r="Q105" s="65">
        <f t="shared" si="29"/>
        <v>3.6617227386426886E-2</v>
      </c>
      <c r="R105" s="256">
        <f t="shared" si="30"/>
        <v>164025567.88631999</v>
      </c>
      <c r="S105" s="212">
        <f>2741661*AC50</f>
        <v>3632152.4928000001</v>
      </c>
      <c r="T105" s="94">
        <f t="shared" si="31"/>
        <v>2.2143819037513161E-2</v>
      </c>
      <c r="U105" s="1256"/>
      <c r="AB105" s="304" t="s">
        <v>133</v>
      </c>
      <c r="AC105" s="299"/>
      <c r="AD105" s="302">
        <f t="shared" ref="AD105:AK105" si="32">SUM(AD93:AD104)/12</f>
        <v>18627.933333333331</v>
      </c>
      <c r="AE105" s="302">
        <f t="shared" si="32"/>
        <v>15082.027500000002</v>
      </c>
      <c r="AF105" s="302">
        <f t="shared" si="32"/>
        <v>12707.601666666667</v>
      </c>
      <c r="AG105" s="302">
        <f t="shared" si="32"/>
        <v>13486.381666666663</v>
      </c>
      <c r="AH105" s="303">
        <f t="shared" si="32"/>
        <v>16980.259166666667</v>
      </c>
      <c r="AI105" s="382">
        <f t="shared" si="32"/>
        <v>18453.875833333335</v>
      </c>
      <c r="AJ105" s="382">
        <f t="shared" si="32"/>
        <v>18438.892499999998</v>
      </c>
      <c r="AK105" s="379">
        <f t="shared" si="32"/>
        <v>23158.052500000002</v>
      </c>
      <c r="AL105" s="1111">
        <f>SUM(AL93:AL104)/12</f>
        <v>33583.721666666665</v>
      </c>
      <c r="AM105" s="1111">
        <f>SUM(AM93:AM104)/12</f>
        <v>29035.125833333335</v>
      </c>
      <c r="AN105" s="1111"/>
    </row>
    <row r="106" spans="1:40" x14ac:dyDescent="0.25">
      <c r="A106" s="29"/>
      <c r="B106" s="209">
        <v>2015</v>
      </c>
      <c r="C106" s="76"/>
      <c r="D106" s="587">
        <v>91593</v>
      </c>
      <c r="E106" s="555">
        <f>+$AE$176</f>
        <v>1474.75</v>
      </c>
      <c r="F106" s="593">
        <f t="shared" si="27"/>
        <v>135076776.75</v>
      </c>
      <c r="G106" s="599">
        <v>3665</v>
      </c>
      <c r="H106" s="560">
        <f>+$AE$196</f>
        <v>19.943333333333332</v>
      </c>
      <c r="I106" s="563">
        <f t="shared" si="28"/>
        <v>73092.316666666666</v>
      </c>
      <c r="J106" s="551"/>
      <c r="K106" s="10"/>
      <c r="L106" s="10"/>
      <c r="M106" s="10"/>
      <c r="N106" s="10"/>
      <c r="O106" s="56"/>
      <c r="P106" s="212">
        <f>87198590*AC51</f>
        <v>111500837.03299999</v>
      </c>
      <c r="Q106" s="65">
        <f t="shared" si="29"/>
        <v>3.606656942503314E-2</v>
      </c>
      <c r="R106" s="256">
        <f t="shared" si="30"/>
        <v>172816137.57554665</v>
      </c>
      <c r="S106" s="212">
        <f>3144954*AC51</f>
        <v>4021452.6798</v>
      </c>
      <c r="T106" s="94">
        <f t="shared" si="31"/>
        <v>2.3270122433109119E-2</v>
      </c>
      <c r="U106" s="1256"/>
      <c r="AB106" s="158"/>
    </row>
    <row r="107" spans="1:40" ht="15.75" thickBot="1" x14ac:dyDescent="0.3">
      <c r="A107" s="29"/>
      <c r="B107" s="210">
        <v>2014</v>
      </c>
      <c r="C107" s="77"/>
      <c r="D107" s="588">
        <v>92622</v>
      </c>
      <c r="E107" s="556">
        <f>+$AD$176</f>
        <v>1392.9166666666667</v>
      </c>
      <c r="F107" s="595">
        <f t="shared" si="27"/>
        <v>129014727.5</v>
      </c>
      <c r="G107" s="601"/>
      <c r="H107" s="561">
        <f>+$AD$196</f>
        <v>20.659166666666664</v>
      </c>
      <c r="I107" s="564">
        <f t="shared" si="28"/>
        <v>0</v>
      </c>
      <c r="J107" s="552"/>
      <c r="K107" s="25"/>
      <c r="L107" s="25"/>
      <c r="M107" s="25"/>
      <c r="N107" s="25"/>
      <c r="O107" s="57"/>
      <c r="P107" s="213">
        <f>94897345*AC52</f>
        <v>105430950.295</v>
      </c>
      <c r="Q107" s="95">
        <f t="shared" si="29"/>
        <v>3.4316060159533444E-2</v>
      </c>
      <c r="R107" s="253">
        <f t="shared" si="30"/>
        <v>143335362.2525</v>
      </c>
      <c r="S107" s="213">
        <f>3256503*AC52</f>
        <v>3617974.8330000001</v>
      </c>
      <c r="T107" s="95">
        <f t="shared" si="31"/>
        <v>2.5241327584093066E-2</v>
      </c>
      <c r="U107" s="1256"/>
    </row>
    <row r="108" spans="1:40" ht="15.75" thickBot="1" x14ac:dyDescent="0.3">
      <c r="A108" s="29"/>
      <c r="B108" s="14"/>
      <c r="C108" s="14"/>
      <c r="D108" s="14"/>
      <c r="E108" s="14"/>
      <c r="F108" s="14"/>
      <c r="G108" s="14"/>
      <c r="H108" s="14"/>
      <c r="I108" s="14"/>
      <c r="J108" s="17"/>
      <c r="K108" s="17"/>
      <c r="L108" s="17"/>
      <c r="M108" s="17"/>
      <c r="N108" s="17"/>
      <c r="O108" s="17"/>
      <c r="P108" s="514">
        <f>SUM(P102:P107)</f>
        <v>425670980.73630005</v>
      </c>
      <c r="Q108" s="14"/>
      <c r="R108" s="229"/>
      <c r="S108" s="514">
        <f>SUM(S102:S107)</f>
        <v>16693655.6516</v>
      </c>
      <c r="T108" s="16"/>
      <c r="U108" s="1257" t="s">
        <v>143</v>
      </c>
      <c r="AA108" s="1105"/>
    </row>
    <row r="109" spans="1:40" ht="15.75" thickBot="1" x14ac:dyDescent="0.3">
      <c r="A109" s="29"/>
      <c r="B109" s="79"/>
      <c r="C109" s="1004" t="s">
        <v>7</v>
      </c>
      <c r="D109" s="1005" t="s">
        <v>5</v>
      </c>
      <c r="E109" s="1005" t="s">
        <v>1</v>
      </c>
      <c r="F109" s="1005" t="s">
        <v>3</v>
      </c>
      <c r="G109" s="1206" t="s">
        <v>21</v>
      </c>
      <c r="H109" s="1006" t="s">
        <v>175</v>
      </c>
      <c r="I109" s="1174" t="s">
        <v>4</v>
      </c>
      <c r="J109" s="361"/>
      <c r="K109" s="362"/>
      <c r="L109" s="362"/>
      <c r="M109" s="362"/>
      <c r="N109" s="362"/>
      <c r="O109" s="363"/>
      <c r="P109" s="238" t="s">
        <v>40</v>
      </c>
      <c r="Q109" s="51" t="s">
        <v>41</v>
      </c>
      <c r="R109" s="1213" t="s">
        <v>113</v>
      </c>
      <c r="S109" s="1214" t="s">
        <v>2</v>
      </c>
      <c r="T109" s="1027" t="s">
        <v>42</v>
      </c>
      <c r="U109" s="1257"/>
      <c r="AA109" s="1105"/>
    </row>
    <row r="110" spans="1:40" x14ac:dyDescent="0.25">
      <c r="A110" s="29"/>
      <c r="B110" s="531">
        <v>2023</v>
      </c>
      <c r="C110" s="580"/>
      <c r="D110" s="584">
        <v>140240</v>
      </c>
      <c r="E110" s="589">
        <f>+$AM$176</f>
        <v>2622.3766666666666</v>
      </c>
      <c r="F110" s="594">
        <f t="shared" ref="F110:F113" si="33">+D110*E110</f>
        <v>367762103.73333329</v>
      </c>
      <c r="G110" s="1221">
        <v>2236</v>
      </c>
      <c r="H110" s="879">
        <f>+$AM$196</f>
        <v>31.355833333333337</v>
      </c>
      <c r="I110" s="562">
        <f t="shared" ref="I110:I113" si="34">+G110*H110</f>
        <v>70111.643333333341</v>
      </c>
      <c r="J110" s="455"/>
      <c r="K110" s="454"/>
      <c r="L110" s="454"/>
      <c r="M110" s="454"/>
      <c r="N110" s="454"/>
      <c r="O110" s="548"/>
      <c r="P110" s="458">
        <f>238726691*AC43</f>
        <v>322209414.8427</v>
      </c>
      <c r="Q110" s="83">
        <f>+S110/P110</f>
        <v>4.9520034607273965E-2</v>
      </c>
      <c r="R110" s="264">
        <f t="shared" ref="R110:R119" si="35">(+F110+I110)*AC43</f>
        <v>496463141.09388685</v>
      </c>
      <c r="S110" s="1212">
        <f>11821754*AC43</f>
        <v>15955821.373799998</v>
      </c>
      <c r="T110" s="60">
        <f t="shared" ref="T110:T113" si="36">+S110/R110</f>
        <v>3.2138984857251605E-2</v>
      </c>
      <c r="U110" s="1257"/>
    </row>
    <row r="111" spans="1:40" x14ac:dyDescent="0.25">
      <c r="A111" s="29"/>
      <c r="B111" s="531">
        <v>2022</v>
      </c>
      <c r="C111" s="580"/>
      <c r="D111" s="584">
        <v>139227</v>
      </c>
      <c r="E111" s="589">
        <f>+$AL$176</f>
        <v>2341.2400000000002</v>
      </c>
      <c r="F111" s="593">
        <f t="shared" si="33"/>
        <v>325963821.48000002</v>
      </c>
      <c r="G111" s="956">
        <v>1965</v>
      </c>
      <c r="H111" s="879">
        <f>+$AL$196</f>
        <v>28.558333333333337</v>
      </c>
      <c r="I111" s="562">
        <f t="shared" si="34"/>
        <v>56117.125000000007</v>
      </c>
      <c r="J111" s="455"/>
      <c r="K111" s="454"/>
      <c r="L111" s="454"/>
      <c r="M111" s="454"/>
      <c r="N111" s="454"/>
      <c r="O111" s="548"/>
      <c r="P111" s="458">
        <f>214712018*AC44</f>
        <v>277923236.09920001</v>
      </c>
      <c r="Q111" s="83">
        <f>+S111/P111</f>
        <v>5.967008795939871E-2</v>
      </c>
      <c r="R111" s="264">
        <f t="shared" si="35"/>
        <v>422000208.530312</v>
      </c>
      <c r="S111" s="1210">
        <f>12811885*AC44</f>
        <v>16583703.944</v>
      </c>
      <c r="T111" s="60">
        <f t="shared" si="36"/>
        <v>3.9297857225605623E-2</v>
      </c>
      <c r="U111" s="1257"/>
      <c r="AA111" s="389" t="s">
        <v>160</v>
      </c>
      <c r="AB111" t="s">
        <v>147</v>
      </c>
      <c r="AC111" s="1099" t="s">
        <v>146</v>
      </c>
    </row>
    <row r="112" spans="1:40" ht="15.75" thickBot="1" x14ac:dyDescent="0.3">
      <c r="A112" s="29"/>
      <c r="B112" s="16">
        <v>2021</v>
      </c>
      <c r="C112" s="580"/>
      <c r="D112" s="584">
        <v>134385</v>
      </c>
      <c r="E112" s="589">
        <f>+$AK$176</f>
        <v>2256.1483333333331</v>
      </c>
      <c r="F112" s="592">
        <f t="shared" si="33"/>
        <v>303192493.77499998</v>
      </c>
      <c r="G112" s="597">
        <v>2000</v>
      </c>
      <c r="H112" s="602">
        <f>+$AK$196</f>
        <v>32.092500000000001</v>
      </c>
      <c r="I112" s="563">
        <f t="shared" si="34"/>
        <v>64185</v>
      </c>
      <c r="J112" s="318"/>
      <c r="K112" s="317"/>
      <c r="L112" s="317"/>
      <c r="M112" s="317"/>
      <c r="N112" s="317"/>
      <c r="O112" s="403"/>
      <c r="P112" s="458">
        <f>208183197*AC45</f>
        <v>278273274.84997499</v>
      </c>
      <c r="Q112" s="83">
        <f>+S112/P112</f>
        <v>7.9486751277049503E-2</v>
      </c>
      <c r="R112" s="264">
        <f t="shared" si="35"/>
        <v>405355621.10157305</v>
      </c>
      <c r="S112" s="1114">
        <f>16547806*AC45</f>
        <v>22119038.585049998</v>
      </c>
      <c r="T112" s="60">
        <f t="shared" si="36"/>
        <v>5.4566996073572301E-2</v>
      </c>
      <c r="U112" s="1257"/>
    </row>
    <row r="113" spans="1:40" ht="15.75" thickBot="1" x14ac:dyDescent="0.3">
      <c r="A113" s="29"/>
      <c r="B113" s="209">
        <v>2020</v>
      </c>
      <c r="C113" s="580"/>
      <c r="D113" s="585">
        <v>127675</v>
      </c>
      <c r="E113" s="590">
        <f>+$AJ$176</f>
        <v>2372.0100000000002</v>
      </c>
      <c r="F113" s="592">
        <f t="shared" si="33"/>
        <v>302846376.75</v>
      </c>
      <c r="G113" s="598">
        <v>1806</v>
      </c>
      <c r="H113" s="603">
        <f>+AJ$196</f>
        <v>25.967500000000001</v>
      </c>
      <c r="I113" s="604">
        <f t="shared" si="34"/>
        <v>46897.305</v>
      </c>
      <c r="J113" s="111"/>
      <c r="K113" s="112"/>
      <c r="L113" s="112"/>
      <c r="M113" s="112"/>
      <c r="N113" s="112"/>
      <c r="O113" s="456"/>
      <c r="P113" s="458">
        <f>198470406*AC46</f>
        <v>266248049.64899999</v>
      </c>
      <c r="Q113" s="83">
        <f>+S113/P113</f>
        <v>6.8499709290052641E-2</v>
      </c>
      <c r="R113" s="264">
        <f t="shared" si="35"/>
        <v>406331327.14478248</v>
      </c>
      <c r="S113" s="1114">
        <v>18237914</v>
      </c>
      <c r="T113" s="60">
        <f t="shared" si="36"/>
        <v>4.4884341377650003E-2</v>
      </c>
      <c r="U113" s="1256"/>
      <c r="X113" s="1"/>
      <c r="AB113" s="75" t="s">
        <v>134</v>
      </c>
      <c r="AC113" s="294"/>
      <c r="AD113" s="295">
        <v>2014</v>
      </c>
      <c r="AE113" s="295">
        <v>2015</v>
      </c>
      <c r="AF113" s="295">
        <v>2016</v>
      </c>
      <c r="AG113" s="295">
        <v>2017</v>
      </c>
      <c r="AH113" s="296">
        <v>2018</v>
      </c>
      <c r="AI113" s="390">
        <v>2019</v>
      </c>
      <c r="AJ113" s="388">
        <v>2020</v>
      </c>
      <c r="AK113" s="388">
        <v>2021</v>
      </c>
      <c r="AL113" s="388">
        <v>2022</v>
      </c>
      <c r="AM113" s="388">
        <v>2023</v>
      </c>
      <c r="AN113" s="388">
        <v>2024</v>
      </c>
    </row>
    <row r="114" spans="1:40" ht="15.75" thickBot="1" x14ac:dyDescent="0.3">
      <c r="A114" s="29"/>
      <c r="B114" s="531">
        <v>2019</v>
      </c>
      <c r="C114" s="580"/>
      <c r="D114" s="585">
        <v>141385</v>
      </c>
      <c r="E114" s="553">
        <f>+$AI$176</f>
        <v>1840.5</v>
      </c>
      <c r="F114" s="593">
        <f t="shared" ref="F114:F119" si="37">+D114*E114</f>
        <v>260219092.5</v>
      </c>
      <c r="G114" s="599">
        <v>2000</v>
      </c>
      <c r="H114" s="559">
        <f>+AI$196</f>
        <v>21.444166666666664</v>
      </c>
      <c r="I114" s="563">
        <f t="shared" ref="I114:I119" si="38">+G114*H114</f>
        <v>42888.333333333328</v>
      </c>
      <c r="J114" s="551"/>
      <c r="K114" s="10"/>
      <c r="L114" s="10"/>
      <c r="M114" s="10"/>
      <c r="N114" s="10"/>
      <c r="O114" s="56"/>
      <c r="P114" s="212">
        <f>166293421*AC47</f>
        <v>209529710.46000001</v>
      </c>
      <c r="Q114" s="83">
        <f>+S114/P114</f>
        <v>7.0960931160349391E-2</v>
      </c>
      <c r="R114" s="256">
        <f t="shared" si="35"/>
        <v>327930095.85000002</v>
      </c>
      <c r="S114" s="1115">
        <f>11800336*AC47</f>
        <v>14868423.359999999</v>
      </c>
      <c r="T114" s="60">
        <f t="shared" ref="T114:T118" si="39">+S114/R114</f>
        <v>4.5340222041715353E-2</v>
      </c>
      <c r="U114" s="1256"/>
      <c r="AB114" s="301" t="s">
        <v>118</v>
      </c>
      <c r="AC114" s="292"/>
      <c r="AD114" s="293">
        <v>140</v>
      </c>
      <c r="AE114" s="293">
        <v>83</v>
      </c>
      <c r="AF114" s="293">
        <v>60</v>
      </c>
      <c r="AG114" s="293">
        <v>106</v>
      </c>
      <c r="AH114" s="386">
        <v>95</v>
      </c>
      <c r="AI114" s="383">
        <v>101</v>
      </c>
      <c r="AJ114" s="436">
        <v>125</v>
      </c>
      <c r="AK114" s="177">
        <v>216</v>
      </c>
      <c r="AL114" s="288">
        <v>167</v>
      </c>
      <c r="AM114" s="288">
        <v>164</v>
      </c>
      <c r="AN114" s="288">
        <v>182</v>
      </c>
    </row>
    <row r="115" spans="1:40" x14ac:dyDescent="0.25">
      <c r="A115" s="29"/>
      <c r="B115" s="531">
        <v>2018</v>
      </c>
      <c r="C115" s="581"/>
      <c r="D115" s="586">
        <v>132100.98749999999</v>
      </c>
      <c r="E115" s="554">
        <f>+$AH$176</f>
        <v>1640.75</v>
      </c>
      <c r="F115" s="594">
        <f t="shared" si="37"/>
        <v>216744695.24062499</v>
      </c>
      <c r="G115" s="599">
        <v>1587.33</v>
      </c>
      <c r="H115" s="559">
        <f>+$AH$196</f>
        <v>20.309166666666666</v>
      </c>
      <c r="I115" s="563">
        <f t="shared" si="38"/>
        <v>32237.349524999998</v>
      </c>
      <c r="J115" s="551"/>
      <c r="K115" s="10"/>
      <c r="L115" s="10"/>
      <c r="M115" s="10"/>
      <c r="N115" s="10"/>
      <c r="O115" s="56"/>
      <c r="P115" s="212">
        <f>122533339*AC48</f>
        <v>158766447.3423</v>
      </c>
      <c r="Q115" s="83">
        <f t="shared" ref="Q115:Q119" si="40">+S115/P115</f>
        <v>4.8540813859646807E-2</v>
      </c>
      <c r="R115" s="264">
        <f t="shared" si="35"/>
        <v>280877871.55705738</v>
      </c>
      <c r="S115" s="1114">
        <f>5947868*AC48</f>
        <v>7706652.5676000006</v>
      </c>
      <c r="T115" s="60">
        <f t="shared" si="39"/>
        <v>2.7437734859203658E-2</v>
      </c>
      <c r="U115" s="1256"/>
      <c r="AB115" s="300" t="s">
        <v>119</v>
      </c>
      <c r="AC115" s="290"/>
      <c r="AD115" s="288">
        <v>134</v>
      </c>
      <c r="AE115" s="288">
        <v>78</v>
      </c>
      <c r="AF115" s="288">
        <v>65</v>
      </c>
      <c r="AG115" s="288">
        <v>117</v>
      </c>
      <c r="AH115" s="288">
        <v>97</v>
      </c>
      <c r="AI115" s="384">
        <v>116</v>
      </c>
      <c r="AJ115" s="437">
        <v>116</v>
      </c>
      <c r="AK115" s="177">
        <v>208</v>
      </c>
      <c r="AL115" s="288">
        <v>182</v>
      </c>
      <c r="AM115" s="288">
        <v>172</v>
      </c>
      <c r="AN115" s="288">
        <v>168</v>
      </c>
    </row>
    <row r="116" spans="1:40" x14ac:dyDescent="0.25">
      <c r="A116" s="29"/>
      <c r="B116" s="531">
        <v>2017</v>
      </c>
      <c r="C116" s="76"/>
      <c r="D116" s="587">
        <v>119090</v>
      </c>
      <c r="E116" s="555">
        <f>+$AG$176</f>
        <v>1628.9166666666667</v>
      </c>
      <c r="F116" s="593">
        <f t="shared" si="37"/>
        <v>193987685.83333334</v>
      </c>
      <c r="G116" s="600">
        <v>1447</v>
      </c>
      <c r="H116" s="560">
        <f>+$AG$196</f>
        <v>22.250833333333333</v>
      </c>
      <c r="I116" s="563">
        <f t="shared" si="38"/>
        <v>32196.955833333333</v>
      </c>
      <c r="J116" s="551"/>
      <c r="K116" s="10"/>
      <c r="L116" s="10"/>
      <c r="M116" s="10"/>
      <c r="N116" s="10"/>
      <c r="O116" s="56"/>
      <c r="P116" s="220">
        <f>120479977*AC49</f>
        <v>156455298.1322</v>
      </c>
      <c r="Q116" s="83">
        <f t="shared" si="40"/>
        <v>4.8149693786877133E-2</v>
      </c>
      <c r="R116" s="256">
        <f t="shared" si="35"/>
        <v>251954219.79001185</v>
      </c>
      <c r="S116" s="1116">
        <f>5801074*AC49</f>
        <v>7533274.6963999998</v>
      </c>
      <c r="T116" s="60">
        <f t="shared" si="39"/>
        <v>2.989937895336111E-2</v>
      </c>
      <c r="U116" s="1256"/>
      <c r="AB116" s="297" t="s">
        <v>120</v>
      </c>
      <c r="AC116" s="290"/>
      <c r="AD116" s="288">
        <v>134</v>
      </c>
      <c r="AE116" s="288">
        <v>73</v>
      </c>
      <c r="AF116" s="288">
        <v>74</v>
      </c>
      <c r="AG116" s="288">
        <v>117</v>
      </c>
      <c r="AH116" s="288">
        <v>91</v>
      </c>
      <c r="AI116" s="384">
        <v>116</v>
      </c>
      <c r="AJ116" s="437">
        <v>124</v>
      </c>
      <c r="AK116" s="177">
        <v>211</v>
      </c>
      <c r="AL116" s="288">
        <v>193</v>
      </c>
      <c r="AM116" s="288">
        <v>176</v>
      </c>
      <c r="AN116" s="288">
        <v>149</v>
      </c>
    </row>
    <row r="117" spans="1:40" x14ac:dyDescent="0.25">
      <c r="A117" s="29"/>
      <c r="B117" s="209">
        <v>2016</v>
      </c>
      <c r="C117" s="76"/>
      <c r="D117" s="587">
        <v>119940</v>
      </c>
      <c r="E117" s="555">
        <f>+$AF$176</f>
        <v>1667.6666666666667</v>
      </c>
      <c r="F117" s="593">
        <f t="shared" si="37"/>
        <v>200019940</v>
      </c>
      <c r="G117" s="600">
        <v>1447</v>
      </c>
      <c r="H117" s="560">
        <f>+$AF$196</f>
        <v>22.529166666666669</v>
      </c>
      <c r="I117" s="563">
        <f t="shared" si="38"/>
        <v>32599.70416666667</v>
      </c>
      <c r="J117" s="551"/>
      <c r="K117" s="10"/>
      <c r="L117" s="10"/>
      <c r="M117" s="10"/>
      <c r="N117" s="10"/>
      <c r="O117" s="56"/>
      <c r="P117" s="212">
        <f>123901775*AC50</f>
        <v>164145071.52000001</v>
      </c>
      <c r="Q117" s="65">
        <f t="shared" si="40"/>
        <v>3.6617223603132402E-2</v>
      </c>
      <c r="R117" s="256">
        <f t="shared" si="35"/>
        <v>265029604.60008001</v>
      </c>
      <c r="S117" s="1115">
        <f>4536939*AC50</f>
        <v>6010536.7872000001</v>
      </c>
      <c r="T117" s="61">
        <f t="shared" si="39"/>
        <v>2.2678737329249236E-2</v>
      </c>
      <c r="U117" s="1256"/>
      <c r="AB117" s="297" t="s">
        <v>121</v>
      </c>
      <c r="AC117" s="290"/>
      <c r="AD117" s="288">
        <v>126</v>
      </c>
      <c r="AE117" s="288">
        <v>64</v>
      </c>
      <c r="AF117" s="288">
        <v>78</v>
      </c>
      <c r="AG117" s="288">
        <v>94</v>
      </c>
      <c r="AH117" s="288">
        <v>84</v>
      </c>
      <c r="AI117" s="384">
        <v>125</v>
      </c>
      <c r="AJ117" s="437">
        <v>119</v>
      </c>
      <c r="AK117" s="177">
        <v>225</v>
      </c>
      <c r="AL117" s="288">
        <v>191</v>
      </c>
      <c r="AM117" s="288">
        <v>158</v>
      </c>
      <c r="AN117" s="288">
        <v>154</v>
      </c>
    </row>
    <row r="118" spans="1:40" x14ac:dyDescent="0.25">
      <c r="A118" s="29"/>
      <c r="B118" s="209">
        <v>2015</v>
      </c>
      <c r="C118" s="76"/>
      <c r="D118" s="587">
        <v>116836</v>
      </c>
      <c r="E118" s="555">
        <f>+$AE$176</f>
        <v>1474.75</v>
      </c>
      <c r="F118" s="593">
        <f t="shared" si="37"/>
        <v>172303891</v>
      </c>
      <c r="G118" s="599">
        <v>1378</v>
      </c>
      <c r="H118" s="560">
        <f>+$AE$196</f>
        <v>19.943333333333332</v>
      </c>
      <c r="I118" s="563">
        <f t="shared" si="38"/>
        <v>27481.91333333333</v>
      </c>
      <c r="J118" s="551"/>
      <c r="K118" s="10"/>
      <c r="L118" s="10"/>
      <c r="M118" s="10"/>
      <c r="N118" s="10"/>
      <c r="O118" s="56"/>
      <c r="P118" s="212">
        <f>109717230*AC51</f>
        <v>140295422.00099999</v>
      </c>
      <c r="Q118" s="65">
        <f t="shared" si="40"/>
        <v>3.6066568578153137E-2</v>
      </c>
      <c r="R118" s="256">
        <f t="shared" si="35"/>
        <v>220360126.54427931</v>
      </c>
      <c r="S118" s="1115">
        <f>3957124*AC51</f>
        <v>5059974.4588000001</v>
      </c>
      <c r="T118" s="61">
        <f t="shared" si="39"/>
        <v>2.2962296029464504E-2</v>
      </c>
      <c r="U118" s="1256"/>
      <c r="AB118" s="297" t="s">
        <v>122</v>
      </c>
      <c r="AC118" s="290"/>
      <c r="AD118" s="288">
        <v>110</v>
      </c>
      <c r="AE118" s="288">
        <v>73</v>
      </c>
      <c r="AF118" s="288">
        <v>71</v>
      </c>
      <c r="AG118" s="288">
        <v>85</v>
      </c>
      <c r="AH118" s="288">
        <v>85</v>
      </c>
      <c r="AI118" s="384">
        <v>135</v>
      </c>
      <c r="AJ118" s="437">
        <v>131</v>
      </c>
      <c r="AK118" s="177">
        <v>252</v>
      </c>
      <c r="AL118" s="288">
        <v>169</v>
      </c>
      <c r="AM118" s="288">
        <v>142</v>
      </c>
      <c r="AN118" s="288">
        <v>163</v>
      </c>
    </row>
    <row r="119" spans="1:40" ht="15.75" thickBot="1" x14ac:dyDescent="0.3">
      <c r="A119" s="29"/>
      <c r="B119" s="210">
        <v>2014</v>
      </c>
      <c r="C119" s="77"/>
      <c r="D119" s="588">
        <v>100433</v>
      </c>
      <c r="E119" s="556">
        <f>+$AD$176</f>
        <v>1392.9166666666667</v>
      </c>
      <c r="F119" s="595">
        <f t="shared" si="37"/>
        <v>139894799.58333334</v>
      </c>
      <c r="G119" s="601"/>
      <c r="H119" s="561">
        <f>+$AD$196</f>
        <v>20.659166666666664</v>
      </c>
      <c r="I119" s="564">
        <f t="shared" si="38"/>
        <v>0</v>
      </c>
      <c r="J119" s="552"/>
      <c r="K119" s="25"/>
      <c r="L119" s="25"/>
      <c r="M119" s="25"/>
      <c r="N119" s="25"/>
      <c r="O119" s="57"/>
      <c r="P119" s="219">
        <f>99775566*AC52</f>
        <v>110850653.82600001</v>
      </c>
      <c r="Q119" s="95">
        <f t="shared" si="40"/>
        <v>3.43160669216349E-2</v>
      </c>
      <c r="R119" s="253">
        <f t="shared" si="35"/>
        <v>155423122.33708334</v>
      </c>
      <c r="S119" s="1117">
        <f>3423905*AC52</f>
        <v>3803958.4550000001</v>
      </c>
      <c r="T119" s="62">
        <f>+S111/R119</f>
        <v>0.10670036539372234</v>
      </c>
      <c r="U119" s="1256"/>
      <c r="AB119" s="297" t="s">
        <v>123</v>
      </c>
      <c r="AC119" s="290"/>
      <c r="AD119" s="288">
        <v>101</v>
      </c>
      <c r="AE119" s="288">
        <v>77</v>
      </c>
      <c r="AF119" s="288">
        <v>67</v>
      </c>
      <c r="AG119" s="288">
        <v>77</v>
      </c>
      <c r="AH119" s="288">
        <v>85</v>
      </c>
      <c r="AI119" s="384">
        <v>145</v>
      </c>
      <c r="AJ119" s="437">
        <v>140</v>
      </c>
      <c r="AK119" s="177">
        <v>262</v>
      </c>
      <c r="AL119" s="288">
        <v>167</v>
      </c>
      <c r="AM119" s="288">
        <v>151</v>
      </c>
      <c r="AN119" s="288">
        <v>147</v>
      </c>
    </row>
    <row r="120" spans="1:40" ht="15.75" thickBot="1" x14ac:dyDescent="0.3">
      <c r="A120" s="29"/>
      <c r="B120" s="14"/>
      <c r="C120" s="14"/>
      <c r="D120" s="15"/>
      <c r="E120" s="321"/>
      <c r="F120" s="322"/>
      <c r="G120" s="37"/>
      <c r="H120" s="38"/>
      <c r="I120" s="39"/>
      <c r="J120" s="323"/>
      <c r="K120" s="323"/>
      <c r="L120" s="323"/>
      <c r="M120" s="323"/>
      <c r="N120" s="323"/>
      <c r="O120" s="323"/>
      <c r="P120" s="514">
        <f>SUM(P111:P119)</f>
        <v>1762487163.8796749</v>
      </c>
      <c r="Q120" s="325"/>
      <c r="R120" s="229"/>
      <c r="S120" s="514">
        <f>SUM(S111:S119)</f>
        <v>101923476.85405001</v>
      </c>
      <c r="T120" s="324"/>
      <c r="U120" s="1256"/>
      <c r="AB120" s="297" t="s">
        <v>124</v>
      </c>
      <c r="AC120" s="290"/>
      <c r="AD120" s="288">
        <v>103</v>
      </c>
      <c r="AE120" s="288">
        <v>68</v>
      </c>
      <c r="AF120" s="288">
        <v>75</v>
      </c>
      <c r="AG120" s="288">
        <v>86</v>
      </c>
      <c r="AH120" s="288">
        <v>85</v>
      </c>
      <c r="AI120" s="384">
        <v>157</v>
      </c>
      <c r="AJ120" s="437">
        <v>146</v>
      </c>
      <c r="AK120" s="177">
        <v>269</v>
      </c>
      <c r="AL120" s="288">
        <v>140</v>
      </c>
      <c r="AM120" s="288">
        <v>151</v>
      </c>
      <c r="AN120" s="288">
        <v>147</v>
      </c>
    </row>
    <row r="121" spans="1:40" ht="15.75" thickBot="1" x14ac:dyDescent="0.3">
      <c r="A121" s="29"/>
      <c r="B121" s="666"/>
      <c r="C121" s="1004" t="s">
        <v>142</v>
      </c>
      <c r="D121" s="1224" t="s">
        <v>5</v>
      </c>
      <c r="E121" s="1005" t="s">
        <v>1</v>
      </c>
      <c r="F121" s="1005" t="s">
        <v>3</v>
      </c>
      <c r="G121" s="1006" t="s">
        <v>21</v>
      </c>
      <c r="H121" s="1131" t="s">
        <v>175</v>
      </c>
      <c r="I121" s="1006" t="s">
        <v>4</v>
      </c>
      <c r="J121" s="1273" t="s">
        <v>13</v>
      </c>
      <c r="K121" s="1273" t="s">
        <v>14</v>
      </c>
      <c r="L121" s="1273" t="s">
        <v>4</v>
      </c>
      <c r="M121" s="1449" t="s">
        <v>12</v>
      </c>
      <c r="N121" s="1449" t="s">
        <v>15</v>
      </c>
      <c r="O121" s="1450" t="s">
        <v>4</v>
      </c>
      <c r="P121" s="238" t="s">
        <v>40</v>
      </c>
      <c r="Q121" s="86" t="s">
        <v>41</v>
      </c>
      <c r="R121" s="224" t="s">
        <v>113</v>
      </c>
      <c r="S121" s="98" t="s">
        <v>2</v>
      </c>
      <c r="T121" s="99" t="s">
        <v>42</v>
      </c>
      <c r="U121" s="1256"/>
      <c r="AB121" s="297" t="s">
        <v>125</v>
      </c>
      <c r="AC121" s="290"/>
      <c r="AD121" s="288">
        <v>101</v>
      </c>
      <c r="AE121" s="288">
        <v>74</v>
      </c>
      <c r="AF121" s="288">
        <v>79</v>
      </c>
      <c r="AG121" s="288">
        <v>96</v>
      </c>
      <c r="AH121" s="288">
        <v>88</v>
      </c>
      <c r="AI121" s="384">
        <v>124</v>
      </c>
      <c r="AJ121" s="437">
        <v>160</v>
      </c>
      <c r="AK121" s="177">
        <v>204</v>
      </c>
      <c r="AL121" s="288">
        <v>141</v>
      </c>
      <c r="AM121" s="288">
        <v>149</v>
      </c>
      <c r="AN121" s="288">
        <v>136</v>
      </c>
    </row>
    <row r="122" spans="1:40" ht="15.75" thickBot="1" x14ac:dyDescent="0.3">
      <c r="A122" s="29"/>
      <c r="B122" s="531">
        <v>2023</v>
      </c>
      <c r="C122" s="1202"/>
      <c r="D122" s="1215">
        <v>74024</v>
      </c>
      <c r="E122" s="1222">
        <f>+$AM$176</f>
        <v>2622.3766666666666</v>
      </c>
      <c r="F122" s="607">
        <f>+D122*E122</f>
        <v>194118810.37333333</v>
      </c>
      <c r="G122" s="1258">
        <v>12732</v>
      </c>
      <c r="H122" s="1223">
        <f>+$AM$196</f>
        <v>31.355833333333337</v>
      </c>
      <c r="I122" s="604">
        <f>+G122*H122</f>
        <v>399222.47000000003</v>
      </c>
      <c r="J122" s="1274">
        <v>44</v>
      </c>
      <c r="K122" s="1275">
        <f>+AM155</f>
        <v>3581.0416666666661</v>
      </c>
      <c r="L122" s="1276">
        <f t="shared" ref="L122" si="41">+J122*K122</f>
        <v>157565.83333333331</v>
      </c>
      <c r="M122" s="1451">
        <v>370</v>
      </c>
      <c r="N122" s="1452">
        <f>+AM80</f>
        <v>11459.475833333336</v>
      </c>
      <c r="O122" s="1453">
        <f t="shared" ref="O122" si="42">+M122*N122</f>
        <v>4240006.0583333345</v>
      </c>
      <c r="P122" s="1239">
        <f>101506591*AC43</f>
        <v>137003445.87269998</v>
      </c>
      <c r="Q122" s="84">
        <f>+S122/P122</f>
        <v>4.9520035600446877E-2</v>
      </c>
      <c r="R122" s="248">
        <f>(+F122+I122+K122+O122)*AC43</f>
        <v>268268558.43751699</v>
      </c>
      <c r="S122" s="1225">
        <f>5026610*AC43</f>
        <v>6784415.5169999991</v>
      </c>
      <c r="T122" s="97">
        <f>+S122/R122</f>
        <v>2.5289640934870017E-2</v>
      </c>
      <c r="U122" s="1256"/>
      <c r="AB122" s="297" t="s">
        <v>126</v>
      </c>
      <c r="AC122" s="290"/>
      <c r="AD122" s="288">
        <v>91</v>
      </c>
      <c r="AE122" s="288">
        <v>76</v>
      </c>
      <c r="AF122" s="288">
        <v>76</v>
      </c>
      <c r="AG122" s="288">
        <v>88</v>
      </c>
      <c r="AH122" s="288">
        <v>89</v>
      </c>
      <c r="AI122" s="384">
        <v>123</v>
      </c>
      <c r="AJ122" s="437">
        <v>164</v>
      </c>
      <c r="AK122" s="177">
        <v>158</v>
      </c>
      <c r="AL122" s="288">
        <v>133</v>
      </c>
      <c r="AM122" s="288">
        <v>164</v>
      </c>
      <c r="AN122" s="288">
        <v>126</v>
      </c>
    </row>
    <row r="123" spans="1:40" x14ac:dyDescent="0.25">
      <c r="A123" s="29"/>
      <c r="B123" s="531">
        <v>2022</v>
      </c>
      <c r="C123" s="206"/>
      <c r="D123" s="1219">
        <v>71344</v>
      </c>
      <c r="E123" s="1220">
        <f>+$AL$176</f>
        <v>2341.2400000000002</v>
      </c>
      <c r="F123" s="896">
        <f>+D123*E123</f>
        <v>167033426.56</v>
      </c>
      <c r="G123" s="1217">
        <v>12957</v>
      </c>
      <c r="H123" s="1218">
        <f>+$AL$196</f>
        <v>28.558333333333337</v>
      </c>
      <c r="I123" s="8">
        <f>+G123*H123</f>
        <v>370030.32500000007</v>
      </c>
      <c r="J123" s="455"/>
      <c r="K123" s="454"/>
      <c r="L123" s="454"/>
      <c r="M123" s="454"/>
      <c r="N123" s="454"/>
      <c r="O123" s="548"/>
      <c r="P123" s="520">
        <f>97051418*AC44</f>
        <v>125623355.45919999</v>
      </c>
      <c r="Q123" s="84">
        <f>+S123/P123</f>
        <v>5.9670091579702635E-2</v>
      </c>
      <c r="R123" s="248">
        <f>(+F123+I123)*AC44</f>
        <v>216687034.59194398</v>
      </c>
      <c r="S123" s="845">
        <f>5791067*AC44</f>
        <v>7495957.1248000003</v>
      </c>
      <c r="T123" s="97">
        <f>+S123/R123</f>
        <v>3.4593473203950918E-2</v>
      </c>
      <c r="U123" s="1256"/>
      <c r="AB123" s="297" t="s">
        <v>127</v>
      </c>
      <c r="AC123" s="290"/>
      <c r="AD123" s="288">
        <v>91</v>
      </c>
      <c r="AE123" s="288">
        <v>69</v>
      </c>
      <c r="AF123" s="288">
        <v>78</v>
      </c>
      <c r="AG123" s="288">
        <v>78</v>
      </c>
      <c r="AH123" s="288">
        <v>96</v>
      </c>
      <c r="AI123" s="384">
        <v>117</v>
      </c>
      <c r="AJ123" s="437">
        <v>158</v>
      </c>
      <c r="AK123" s="177">
        <v>153</v>
      </c>
      <c r="AL123" s="288">
        <v>127</v>
      </c>
      <c r="AM123" s="288">
        <v>163</v>
      </c>
      <c r="AN123" s="288">
        <v>139</v>
      </c>
    </row>
    <row r="124" spans="1:40" x14ac:dyDescent="0.25">
      <c r="A124" s="29"/>
      <c r="B124" s="209">
        <v>2021</v>
      </c>
      <c r="C124" s="580"/>
      <c r="D124" s="584">
        <v>67588</v>
      </c>
      <c r="E124" s="644">
        <f>+$AK$176</f>
        <v>2256.1483333333331</v>
      </c>
      <c r="F124" s="1216">
        <f>+D124*E124</f>
        <v>152488553.55333331</v>
      </c>
      <c r="G124" s="1217">
        <v>12000</v>
      </c>
      <c r="H124" s="1218">
        <f>+$AK$196</f>
        <v>32.092500000000001</v>
      </c>
      <c r="I124" s="8">
        <f>+G124*H124</f>
        <v>385110</v>
      </c>
      <c r="J124" s="455"/>
      <c r="K124" s="454"/>
      <c r="L124" s="454"/>
      <c r="M124" s="454"/>
      <c r="N124" s="454"/>
      <c r="O124" s="548"/>
      <c r="P124" s="458">
        <f>90764101*AC45</f>
        <v>121322104.70417498</v>
      </c>
      <c r="Q124" s="83">
        <f>+S124/P124</f>
        <v>7.9486745536101328E-2</v>
      </c>
      <c r="R124" s="264">
        <f>(+F124+I124)*AC45</f>
        <v>204342404.23015177</v>
      </c>
      <c r="S124" s="220">
        <f>7214543*AC45</f>
        <v>9643499.2645249981</v>
      </c>
      <c r="T124" s="97">
        <f>+S124/R124</f>
        <v>4.7192844289252273E-2</v>
      </c>
      <c r="U124" s="1256"/>
      <c r="AB124" s="297" t="s">
        <v>128</v>
      </c>
      <c r="AC124" s="290"/>
      <c r="AD124" s="288">
        <v>83</v>
      </c>
      <c r="AE124" s="288">
        <v>62</v>
      </c>
      <c r="AF124" s="288">
        <v>98</v>
      </c>
      <c r="AG124" s="288">
        <v>82</v>
      </c>
      <c r="AH124" s="288">
        <v>97</v>
      </c>
      <c r="AI124" s="384">
        <v>112</v>
      </c>
      <c r="AJ124" s="437">
        <v>163</v>
      </c>
      <c r="AK124" s="177">
        <v>121</v>
      </c>
      <c r="AL124" s="288">
        <v>126</v>
      </c>
      <c r="AM124" s="288">
        <v>180</v>
      </c>
      <c r="AN124" s="288">
        <v>140</v>
      </c>
    </row>
    <row r="125" spans="1:40" ht="15.75" thickBot="1" x14ac:dyDescent="0.3">
      <c r="A125" s="29"/>
      <c r="B125" s="209">
        <v>2020</v>
      </c>
      <c r="C125" s="580"/>
      <c r="D125" s="605">
        <v>61974</v>
      </c>
      <c r="E125" s="590">
        <f>+$AJ$176</f>
        <v>2372.0100000000002</v>
      </c>
      <c r="F125" s="593">
        <f>+D125*E125</f>
        <v>147002947.74000001</v>
      </c>
      <c r="G125" s="599">
        <v>12237</v>
      </c>
      <c r="H125" s="559">
        <f>+AJ$196</f>
        <v>25.967500000000001</v>
      </c>
      <c r="I125" s="563">
        <f>+G125*H125</f>
        <v>317764.29749999999</v>
      </c>
      <c r="J125" s="318"/>
      <c r="K125" s="317"/>
      <c r="L125" s="317"/>
      <c r="M125" s="317"/>
      <c r="N125" s="317"/>
      <c r="O125" s="403"/>
      <c r="P125" s="458">
        <f>87128954*AC46</f>
        <v>116883491.79099999</v>
      </c>
      <c r="Q125" s="83">
        <f>+S125/P125</f>
        <v>9.1892357619718465E-2</v>
      </c>
      <c r="R125" s="264">
        <f>(+F125+I125)*AC46</f>
        <v>197630735.19830626</v>
      </c>
      <c r="S125" s="220">
        <f>8006485*AC46</f>
        <v>10740699.627499999</v>
      </c>
      <c r="T125" s="97">
        <f>+S125/R125</f>
        <v>5.4347314028471261E-2</v>
      </c>
      <c r="U125" s="1256"/>
      <c r="AB125" s="298" t="s">
        <v>129</v>
      </c>
      <c r="AC125" s="291"/>
      <c r="AD125" s="289">
        <v>79</v>
      </c>
      <c r="AE125" s="289">
        <v>56</v>
      </c>
      <c r="AF125" s="289">
        <v>107</v>
      </c>
      <c r="AG125" s="289">
        <v>92</v>
      </c>
      <c r="AH125" s="387">
        <v>93</v>
      </c>
      <c r="AI125" s="385">
        <v>122</v>
      </c>
      <c r="AJ125" s="438">
        <v>199</v>
      </c>
      <c r="AK125" s="378">
        <v>150</v>
      </c>
      <c r="AL125" s="289">
        <v>152</v>
      </c>
      <c r="AM125" s="289">
        <v>185</v>
      </c>
      <c r="AN125" s="289"/>
    </row>
    <row r="126" spans="1:40" ht="15.75" thickBot="1" x14ac:dyDescent="0.3">
      <c r="A126" s="29"/>
      <c r="B126" s="209">
        <v>2019</v>
      </c>
      <c r="C126" s="580"/>
      <c r="D126" s="605">
        <v>56998</v>
      </c>
      <c r="E126" s="590">
        <f>+$AI$176</f>
        <v>1840.5</v>
      </c>
      <c r="F126" s="593">
        <f>+D126*E126</f>
        <v>104904819</v>
      </c>
      <c r="G126" s="599">
        <v>11000</v>
      </c>
      <c r="H126" s="559">
        <f>+AI$196</f>
        <v>21.444166666666664</v>
      </c>
      <c r="I126" s="563">
        <f>+G126*H126</f>
        <v>235885.83333333331</v>
      </c>
      <c r="J126" s="551"/>
      <c r="K126" s="10"/>
      <c r="L126" s="10"/>
      <c r="M126" s="10"/>
      <c r="N126" s="10"/>
      <c r="O126" s="56"/>
      <c r="P126" s="220">
        <f>59887912*AC47</f>
        <v>75458769.120000005</v>
      </c>
      <c r="Q126" s="65">
        <f>+S126/P126</f>
        <v>7.0960931147507705E-2</v>
      </c>
      <c r="R126" s="256">
        <f>(+F126+I126)*AC47</f>
        <v>132477288.08999999</v>
      </c>
      <c r="S126" s="212">
        <f>4249702*AC47</f>
        <v>5354624.5200000005</v>
      </c>
      <c r="T126" s="97">
        <f>+S126/R126</f>
        <v>4.0419188807384661E-2</v>
      </c>
      <c r="U126" s="1256"/>
      <c r="AB126" s="304" t="s">
        <v>133</v>
      </c>
      <c r="AC126" s="299"/>
      <c r="AD126" s="302">
        <f t="shared" ref="AD126:AN126" si="43">SUM(AD114:AD125)/12</f>
        <v>107.75</v>
      </c>
      <c r="AE126" s="302">
        <f t="shared" si="43"/>
        <v>71.083333333333329</v>
      </c>
      <c r="AF126" s="302">
        <f t="shared" si="43"/>
        <v>77.333333333333329</v>
      </c>
      <c r="AG126" s="302">
        <f t="shared" si="43"/>
        <v>93.166666666666671</v>
      </c>
      <c r="AH126" s="303">
        <f t="shared" si="43"/>
        <v>90.416666666666671</v>
      </c>
      <c r="AI126" s="382">
        <f t="shared" si="43"/>
        <v>124.41666666666667</v>
      </c>
      <c r="AJ126" s="382">
        <f t="shared" si="43"/>
        <v>145.41666666666666</v>
      </c>
      <c r="AK126" s="1112">
        <f t="shared" si="43"/>
        <v>202.41666666666666</v>
      </c>
      <c r="AL126" s="1112">
        <f t="shared" si="43"/>
        <v>157.33333333333334</v>
      </c>
      <c r="AM126" s="379">
        <f t="shared" si="43"/>
        <v>162.91666666666666</v>
      </c>
      <c r="AN126" s="379">
        <f t="shared" si="43"/>
        <v>137.58333333333334</v>
      </c>
    </row>
    <row r="127" spans="1:40" x14ac:dyDescent="0.25">
      <c r="A127" s="29"/>
      <c r="B127" s="209">
        <v>2018</v>
      </c>
      <c r="C127" s="581"/>
      <c r="D127" s="606"/>
      <c r="E127" s="679">
        <f>+$AH$176</f>
        <v>1640.75</v>
      </c>
      <c r="F127" s="593"/>
      <c r="G127" s="599"/>
      <c r="H127" s="559">
        <f>+$AH$196</f>
        <v>20.309166666666666</v>
      </c>
      <c r="I127" s="563"/>
      <c r="J127" s="551"/>
      <c r="K127" s="10"/>
      <c r="L127" s="10"/>
      <c r="M127" s="10"/>
      <c r="N127" s="10"/>
      <c r="O127" s="56"/>
      <c r="P127" s="220"/>
      <c r="Q127" s="83"/>
      <c r="R127" s="264"/>
      <c r="S127" s="220"/>
      <c r="T127" s="97"/>
      <c r="U127" s="1256"/>
    </row>
    <row r="128" spans="1:40" x14ac:dyDescent="0.25">
      <c r="A128" s="29"/>
      <c r="B128" s="209">
        <v>2017</v>
      </c>
      <c r="C128" s="76"/>
      <c r="D128" s="587"/>
      <c r="E128" s="555">
        <f>+$AG$176</f>
        <v>1628.9166666666667</v>
      </c>
      <c r="F128" s="593"/>
      <c r="G128" s="609"/>
      <c r="H128" s="560">
        <f>+$AG$196</f>
        <v>22.250833333333333</v>
      </c>
      <c r="I128" s="563"/>
      <c r="J128" s="551"/>
      <c r="K128" s="10"/>
      <c r="L128" s="10"/>
      <c r="M128" s="10"/>
      <c r="N128" s="10"/>
      <c r="O128" s="56"/>
      <c r="P128" s="220"/>
      <c r="Q128" s="83"/>
      <c r="R128" s="255"/>
      <c r="S128" s="218"/>
      <c r="T128" s="97"/>
      <c r="U128" s="1256"/>
    </row>
    <row r="129" spans="1:40" x14ac:dyDescent="0.25">
      <c r="A129" s="29"/>
      <c r="B129" s="209">
        <v>2016</v>
      </c>
      <c r="C129" s="76"/>
      <c r="D129" s="587"/>
      <c r="E129" s="555">
        <f>+$AF$176</f>
        <v>1667.6666666666667</v>
      </c>
      <c r="F129" s="593"/>
      <c r="G129" s="609"/>
      <c r="H129" s="560">
        <f>+$AF$196</f>
        <v>22.529166666666669</v>
      </c>
      <c r="I129" s="563"/>
      <c r="J129" s="551"/>
      <c r="K129" s="10"/>
      <c r="L129" s="10"/>
      <c r="M129" s="10"/>
      <c r="N129" s="10"/>
      <c r="O129" s="56"/>
      <c r="P129" s="212"/>
      <c r="Q129" s="65"/>
      <c r="R129" s="256"/>
      <c r="S129" s="212"/>
      <c r="T129" s="94"/>
      <c r="U129" s="1256"/>
    </row>
    <row r="130" spans="1:40" x14ac:dyDescent="0.25">
      <c r="A130" s="29"/>
      <c r="B130" s="209">
        <v>2015</v>
      </c>
      <c r="C130" s="76"/>
      <c r="D130" s="587"/>
      <c r="E130" s="555">
        <f>+$AE$176</f>
        <v>1474.75</v>
      </c>
      <c r="F130" s="593"/>
      <c r="G130" s="599"/>
      <c r="H130" s="560">
        <f>+$AE$196</f>
        <v>19.943333333333332</v>
      </c>
      <c r="I130" s="563"/>
      <c r="J130" s="551"/>
      <c r="K130" s="10"/>
      <c r="L130" s="10"/>
      <c r="M130" s="10"/>
      <c r="N130" s="10"/>
      <c r="O130" s="56"/>
      <c r="P130" s="212"/>
      <c r="Q130" s="65"/>
      <c r="R130" s="256"/>
      <c r="S130" s="212"/>
      <c r="T130" s="94"/>
      <c r="U130" s="1256"/>
    </row>
    <row r="131" spans="1:40" ht="15.75" thickBot="1" x14ac:dyDescent="0.3">
      <c r="A131" s="29"/>
      <c r="B131" s="210">
        <v>2014</v>
      </c>
      <c r="C131" s="77"/>
      <c r="D131" s="588"/>
      <c r="E131" s="556">
        <f>+$AD$176</f>
        <v>1392.9166666666667</v>
      </c>
      <c r="F131" s="595"/>
      <c r="G131" s="601"/>
      <c r="H131" s="561">
        <f>+$AD$196</f>
        <v>20.659166666666664</v>
      </c>
      <c r="I131" s="564"/>
      <c r="J131" s="552"/>
      <c r="K131" s="25"/>
      <c r="L131" s="25"/>
      <c r="M131" s="25"/>
      <c r="N131" s="25"/>
      <c r="O131" s="57"/>
      <c r="P131" s="219"/>
      <c r="Q131" s="66"/>
      <c r="R131" s="257"/>
      <c r="S131" s="213"/>
      <c r="T131" s="95"/>
      <c r="U131" s="1256"/>
    </row>
    <row r="132" spans="1:40" ht="15.75" thickBot="1" x14ac:dyDescent="0.3">
      <c r="A132" s="29"/>
      <c r="B132" s="35"/>
      <c r="C132" s="35"/>
      <c r="D132" s="37"/>
      <c r="E132" s="38"/>
      <c r="F132" s="39"/>
      <c r="G132" s="37"/>
      <c r="H132" s="38"/>
      <c r="I132" s="39"/>
      <c r="J132" s="39"/>
      <c r="K132" s="39"/>
      <c r="L132" s="39"/>
      <c r="M132" s="39"/>
      <c r="N132" s="39"/>
      <c r="O132" s="39"/>
      <c r="P132" s="312">
        <f>SUM(P123:P131)</f>
        <v>439287721.07437497</v>
      </c>
      <c r="Q132" s="325"/>
      <c r="R132" s="275"/>
      <c r="S132" s="312">
        <f>SUM(S123:S131)</f>
        <v>33234780.536824998</v>
      </c>
      <c r="T132" s="278"/>
      <c r="U132" s="1256"/>
    </row>
    <row r="133" spans="1:40" ht="15.75" thickBot="1" x14ac:dyDescent="0.3">
      <c r="A133" s="29"/>
      <c r="B133" s="1009"/>
      <c r="C133" s="670" t="s">
        <v>194</v>
      </c>
      <c r="D133" s="725" t="s">
        <v>5</v>
      </c>
      <c r="E133" s="725" t="s">
        <v>1</v>
      </c>
      <c r="F133" s="725" t="s">
        <v>3</v>
      </c>
      <c r="G133" s="885" t="s">
        <v>21</v>
      </c>
      <c r="H133" s="672" t="s">
        <v>175</v>
      </c>
      <c r="I133" s="893" t="s">
        <v>4</v>
      </c>
      <c r="J133" s="74"/>
      <c r="K133" s="45"/>
      <c r="L133" s="45"/>
      <c r="M133" s="45"/>
      <c r="N133" s="45"/>
      <c r="O133" s="58"/>
      <c r="P133" s="237" t="s">
        <v>40</v>
      </c>
      <c r="Q133" s="46" t="s">
        <v>41</v>
      </c>
      <c r="R133" s="876" t="s">
        <v>113</v>
      </c>
      <c r="S133" s="877" t="s">
        <v>2</v>
      </c>
      <c r="T133" s="44" t="s">
        <v>42</v>
      </c>
      <c r="U133" s="1257"/>
    </row>
    <row r="134" spans="1:40" ht="15.75" thickBot="1" x14ac:dyDescent="0.3">
      <c r="A134" s="29"/>
      <c r="B134" s="210">
        <v>2023</v>
      </c>
      <c r="C134" s="1004"/>
      <c r="D134" s="1232">
        <v>147</v>
      </c>
      <c r="E134" s="1233">
        <f>+$AM$176</f>
        <v>2622.3766666666666</v>
      </c>
      <c r="F134" s="1240">
        <f t="shared" ref="F134" si="44">+D134*E134</f>
        <v>385489.37</v>
      </c>
      <c r="G134" s="1234">
        <v>39</v>
      </c>
      <c r="H134" s="1235">
        <f>+$AM$196</f>
        <v>31.355833333333337</v>
      </c>
      <c r="I134" s="1236">
        <f t="shared" ref="I134" si="45">+G134*H134</f>
        <v>1222.8775000000001</v>
      </c>
      <c r="J134" s="71"/>
      <c r="K134" s="50"/>
      <c r="L134" s="50"/>
      <c r="M134" s="50"/>
      <c r="N134" s="50"/>
      <c r="O134" s="69"/>
      <c r="P134" s="528">
        <f>55417*AC43</f>
        <v>74796.324899999992</v>
      </c>
      <c r="Q134" s="1237">
        <f>+S134/P134</f>
        <v>4.9515491636140538E-2</v>
      </c>
      <c r="R134" s="874">
        <f>(+F134+I134)*AC43</f>
        <v>521945.52045074996</v>
      </c>
      <c r="S134" s="1238">
        <f>2744*AC43</f>
        <v>3703.5767999999998</v>
      </c>
      <c r="T134" s="203">
        <f t="shared" ref="T134" si="46">+S134/R134</f>
        <v>7.0957152708229134E-3</v>
      </c>
      <c r="U134" s="1257"/>
    </row>
    <row r="135" spans="1:40" ht="15.75" thickBot="1" x14ac:dyDescent="0.3">
      <c r="A135" s="29"/>
      <c r="B135" s="35"/>
      <c r="C135" s="35"/>
      <c r="D135" s="37"/>
      <c r="E135" s="38"/>
      <c r="F135" s="39"/>
      <c r="G135" s="37"/>
      <c r="H135" s="38"/>
      <c r="I135" s="39"/>
      <c r="J135" s="39"/>
      <c r="K135" s="39"/>
      <c r="L135" s="39"/>
      <c r="M135" s="39"/>
      <c r="N135" s="39"/>
      <c r="O135" s="39"/>
      <c r="P135" s="778">
        <f>+P134</f>
        <v>74796.324899999992</v>
      </c>
      <c r="Q135" s="14"/>
      <c r="R135" s="229"/>
      <c r="S135" s="778">
        <f>+S134</f>
        <v>3703.5767999999998</v>
      </c>
      <c r="T135" s="278"/>
      <c r="U135" s="1256"/>
    </row>
    <row r="136" spans="1:40" ht="15.75" thickBot="1" x14ac:dyDescent="0.3">
      <c r="A136" s="29"/>
      <c r="B136" s="1009"/>
      <c r="C136" s="670" t="s">
        <v>195</v>
      </c>
      <c r="D136" s="725" t="s">
        <v>5</v>
      </c>
      <c r="E136" s="725" t="s">
        <v>1</v>
      </c>
      <c r="F136" s="725" t="s">
        <v>3</v>
      </c>
      <c r="G136" s="885" t="s">
        <v>21</v>
      </c>
      <c r="H136" s="672" t="s">
        <v>175</v>
      </c>
      <c r="I136" s="893" t="s">
        <v>4</v>
      </c>
      <c r="J136" s="74"/>
      <c r="K136" s="45"/>
      <c r="L136" s="45"/>
      <c r="M136" s="45"/>
      <c r="N136" s="45"/>
      <c r="O136" s="58"/>
      <c r="P136" s="237" t="s">
        <v>40</v>
      </c>
      <c r="Q136" s="46" t="s">
        <v>41</v>
      </c>
      <c r="R136" s="876" t="s">
        <v>113</v>
      </c>
      <c r="S136" s="877" t="s">
        <v>2</v>
      </c>
      <c r="T136" s="44" t="s">
        <v>42</v>
      </c>
      <c r="U136" s="1257"/>
    </row>
    <row r="137" spans="1:40" ht="15.75" thickBot="1" x14ac:dyDescent="0.3">
      <c r="A137" s="30"/>
      <c r="B137" s="1245">
        <v>2023</v>
      </c>
      <c r="C137" s="1246"/>
      <c r="D137" s="1247">
        <v>349634</v>
      </c>
      <c r="E137" s="1248">
        <f>+$AM$176</f>
        <v>2622.3766666666666</v>
      </c>
      <c r="F137" s="1242">
        <f t="shared" ref="F137" si="47">+D137*E137</f>
        <v>916872043.47333324</v>
      </c>
      <c r="G137" s="1249">
        <v>157184</v>
      </c>
      <c r="H137" s="1248">
        <f>+$AM$196</f>
        <v>31.355833333333337</v>
      </c>
      <c r="I137" s="1250">
        <f t="shared" ref="I137" si="48">+G137*H137</f>
        <v>4928635.3066666676</v>
      </c>
      <c r="J137" s="1251"/>
      <c r="K137" s="1252"/>
      <c r="L137" s="1252"/>
      <c r="M137" s="1252"/>
      <c r="N137" s="1252"/>
      <c r="O137" s="1253"/>
      <c r="P137" s="1254">
        <f>500091826*AC43</f>
        <v>674973937.55219996</v>
      </c>
      <c r="Q137" s="1241">
        <f>+S137/P137</f>
        <v>4.9520033546799062E-2</v>
      </c>
      <c r="R137" s="1242">
        <f>(+F137+I137)*AC46</f>
        <v>1236595610.5833697</v>
      </c>
      <c r="S137" s="1243">
        <f>24764564*AC43</f>
        <v>33424732.030799996</v>
      </c>
      <c r="T137" s="1244">
        <f t="shared" ref="T137" si="49">+S137/R137</f>
        <v>2.702963826228667E-2</v>
      </c>
      <c r="U137" s="1259" t="s">
        <v>196</v>
      </c>
    </row>
    <row r="138" spans="1:40" ht="15.75" thickBot="1" x14ac:dyDescent="0.3">
      <c r="A138" s="1260"/>
      <c r="B138" s="1261"/>
      <c r="C138" s="1261"/>
      <c r="D138" s="1262"/>
      <c r="E138" s="1263"/>
      <c r="F138" s="1264"/>
      <c r="G138" s="1262"/>
      <c r="H138" s="1263"/>
      <c r="I138" s="1264"/>
      <c r="J138" s="1264"/>
      <c r="K138" s="1264"/>
      <c r="L138" s="1264"/>
      <c r="M138" s="1264"/>
      <c r="N138" s="1264"/>
      <c r="O138" s="1264"/>
      <c r="P138" s="778">
        <f>+P137</f>
        <v>674973937.55219996</v>
      </c>
      <c r="Q138" s="1265"/>
      <c r="R138" s="1048"/>
      <c r="S138" s="778">
        <f>+S137</f>
        <v>33424732.030799996</v>
      </c>
      <c r="T138" s="1266"/>
      <c r="U138" s="1267"/>
    </row>
    <row r="139" spans="1:40" x14ac:dyDescent="0.25">
      <c r="A139" s="35"/>
      <c r="B139" s="35"/>
      <c r="C139" s="35"/>
      <c r="D139" s="37"/>
      <c r="E139" s="38"/>
      <c r="F139" s="39"/>
      <c r="G139" s="37"/>
      <c r="H139" s="38"/>
      <c r="I139" s="39"/>
      <c r="J139" s="39"/>
      <c r="K139" s="39"/>
      <c r="L139" s="39"/>
      <c r="M139" s="39"/>
      <c r="N139" s="39"/>
      <c r="O139" s="39"/>
      <c r="P139" s="275"/>
      <c r="Q139" s="35"/>
      <c r="R139" s="275"/>
      <c r="S139" s="275"/>
      <c r="T139" s="278"/>
    </row>
    <row r="140" spans="1:40" x14ac:dyDescent="0.25">
      <c r="A140" s="35"/>
      <c r="B140" s="35"/>
      <c r="C140" s="35"/>
      <c r="D140" s="37"/>
      <c r="E140" s="38"/>
      <c r="F140" s="39"/>
      <c r="G140" s="37"/>
      <c r="H140" s="38"/>
      <c r="I140" s="39"/>
      <c r="J140" s="39"/>
      <c r="K140" s="39"/>
      <c r="L140" s="39"/>
      <c r="M140" s="39"/>
      <c r="N140" s="39"/>
      <c r="O140" s="39"/>
      <c r="P140" s="275"/>
      <c r="Q140" s="35"/>
      <c r="R140" s="275"/>
      <c r="S140" s="275"/>
      <c r="T140" s="278"/>
      <c r="W140" s="11"/>
      <c r="AA140" s="389" t="s">
        <v>160</v>
      </c>
      <c r="AB140" t="s">
        <v>155</v>
      </c>
      <c r="AC140" t="s">
        <v>210</v>
      </c>
    </row>
    <row r="141" spans="1:40" ht="15.75" thickBot="1" x14ac:dyDescent="0.3">
      <c r="A141" s="1226"/>
      <c r="B141" s="35"/>
      <c r="C141" s="35"/>
      <c r="D141" s="37"/>
      <c r="E141" s="38"/>
      <c r="F141" s="39"/>
      <c r="G141" s="37"/>
      <c r="H141" s="38"/>
      <c r="I141" s="39"/>
      <c r="J141" s="39"/>
      <c r="K141" s="39"/>
      <c r="L141" s="39"/>
      <c r="M141" s="39"/>
      <c r="N141" s="39"/>
      <c r="O141" s="39"/>
      <c r="P141" s="275"/>
      <c r="Q141" s="325"/>
      <c r="R141" s="275"/>
      <c r="S141" s="275"/>
      <c r="T141" s="278"/>
      <c r="W141" s="41"/>
    </row>
    <row r="142" spans="1:40" ht="15.75" thickBot="1" x14ac:dyDescent="0.3">
      <c r="A142" s="28"/>
      <c r="B142" s="666"/>
      <c r="C142" s="52" t="s">
        <v>8</v>
      </c>
      <c r="D142" s="42" t="s">
        <v>5</v>
      </c>
      <c r="E142" s="42" t="s">
        <v>1</v>
      </c>
      <c r="F142" s="42" t="s">
        <v>3</v>
      </c>
      <c r="G142" s="43" t="s">
        <v>21</v>
      </c>
      <c r="H142" s="591" t="s">
        <v>175</v>
      </c>
      <c r="I142" s="43" t="s">
        <v>4</v>
      </c>
      <c r="J142" s="45"/>
      <c r="K142" s="45"/>
      <c r="L142" s="45"/>
      <c r="M142" s="45"/>
      <c r="N142" s="45"/>
      <c r="O142" s="58"/>
      <c r="P142" s="237" t="s">
        <v>40</v>
      </c>
      <c r="Q142" s="46" t="s">
        <v>41</v>
      </c>
      <c r="R142" s="230" t="s">
        <v>113</v>
      </c>
      <c r="S142" s="87" t="s">
        <v>2</v>
      </c>
      <c r="T142" s="88" t="s">
        <v>42</v>
      </c>
      <c r="AB142" s="75" t="s">
        <v>152</v>
      </c>
      <c r="AC142" s="294"/>
      <c r="AD142" s="295">
        <v>2014</v>
      </c>
      <c r="AE142" s="295">
        <v>2015</v>
      </c>
      <c r="AF142" s="295">
        <v>2016</v>
      </c>
      <c r="AG142" s="295">
        <v>2017</v>
      </c>
      <c r="AH142" s="296">
        <v>2018</v>
      </c>
      <c r="AI142" s="390">
        <v>2019</v>
      </c>
      <c r="AJ142" s="388">
        <v>2020</v>
      </c>
      <c r="AK142" s="388">
        <v>2021</v>
      </c>
      <c r="AL142" s="388">
        <v>2022</v>
      </c>
      <c r="AM142" s="388">
        <v>2023</v>
      </c>
      <c r="AN142" s="388">
        <v>2024</v>
      </c>
    </row>
    <row r="143" spans="1:40" ht="15.75" thickBot="1" x14ac:dyDescent="0.3">
      <c r="A143" s="29"/>
      <c r="B143" s="531">
        <v>2023</v>
      </c>
      <c r="C143" s="865"/>
      <c r="D143" s="1300"/>
      <c r="E143" s="141"/>
      <c r="F143" s="116"/>
      <c r="G143" s="116"/>
      <c r="H143" s="143"/>
      <c r="I143" s="116"/>
      <c r="J143" s="116"/>
      <c r="K143" s="116"/>
      <c r="L143" s="116"/>
      <c r="M143" s="116"/>
      <c r="N143" s="116"/>
      <c r="O143" s="117"/>
      <c r="P143" s="239"/>
      <c r="Q143" s="119"/>
      <c r="R143" s="239"/>
      <c r="S143" s="118"/>
      <c r="T143" s="119"/>
      <c r="U143" s="273"/>
      <c r="AB143" s="301" t="s">
        <v>118</v>
      </c>
      <c r="AC143" s="292"/>
      <c r="AD143" s="293">
        <v>2228.2800000000002</v>
      </c>
      <c r="AE143" s="293">
        <v>2565.9699999999998</v>
      </c>
      <c r="AF143" s="293">
        <v>2160.16</v>
      </c>
      <c r="AG143" s="293">
        <v>3583.28</v>
      </c>
      <c r="AH143" s="386">
        <v>4279.32</v>
      </c>
      <c r="AI143" s="383">
        <v>3418.55</v>
      </c>
      <c r="AJ143" s="436">
        <v>3079.7</v>
      </c>
      <c r="AK143" s="177">
        <v>3441.75</v>
      </c>
      <c r="AL143" s="288">
        <v>4540.34</v>
      </c>
      <c r="AM143" s="288">
        <v>4444</v>
      </c>
      <c r="AN143" s="288">
        <v>3376.69</v>
      </c>
    </row>
    <row r="144" spans="1:40" ht="15.75" thickBot="1" x14ac:dyDescent="0.3">
      <c r="A144" s="29"/>
      <c r="B144" s="531">
        <v>2022</v>
      </c>
      <c r="C144" s="1301"/>
      <c r="D144" s="116"/>
      <c r="E144" s="141"/>
      <c r="F144" s="116"/>
      <c r="G144" s="116"/>
      <c r="H144" s="143"/>
      <c r="I144" s="116"/>
      <c r="J144" s="116"/>
      <c r="K144" s="116"/>
      <c r="L144" s="116"/>
      <c r="M144" s="116"/>
      <c r="N144" s="116"/>
      <c r="O144" s="117"/>
      <c r="P144" s="239"/>
      <c r="Q144" s="119"/>
      <c r="R144" s="239"/>
      <c r="S144" s="118"/>
      <c r="T144" s="119"/>
      <c r="U144" s="273"/>
      <c r="AB144" s="300" t="s">
        <v>119</v>
      </c>
      <c r="AC144" s="290"/>
      <c r="AD144" s="288">
        <v>2248.9699999999998</v>
      </c>
      <c r="AE144" s="288">
        <v>6223.34</v>
      </c>
      <c r="AF144" s="288">
        <v>2358.9299999999998</v>
      </c>
      <c r="AG144" s="288">
        <v>3729.04</v>
      </c>
      <c r="AH144" s="288">
        <v>4442.21</v>
      </c>
      <c r="AI144" s="384">
        <v>3575</v>
      </c>
      <c r="AJ144" s="437">
        <v>2805.94</v>
      </c>
      <c r="AK144" s="177">
        <v>3485.13</v>
      </c>
      <c r="AL144" s="288">
        <v>4604.3500000000004</v>
      </c>
      <c r="AM144" s="288">
        <v>4212.33</v>
      </c>
      <c r="AN144" s="288">
        <v>3186.31</v>
      </c>
    </row>
    <row r="145" spans="1:40" ht="15.75" thickBot="1" x14ac:dyDescent="0.3">
      <c r="A145" s="29"/>
      <c r="B145" s="531">
        <v>2021</v>
      </c>
      <c r="C145" s="1150"/>
      <c r="D145" s="116"/>
      <c r="E145" s="141"/>
      <c r="F145" s="116"/>
      <c r="G145" s="116"/>
      <c r="H145" s="143"/>
      <c r="I145" s="116"/>
      <c r="J145" s="116"/>
      <c r="K145" s="116"/>
      <c r="L145" s="116"/>
      <c r="M145" s="116"/>
      <c r="N145" s="116"/>
      <c r="O145" s="117"/>
      <c r="P145" s="239"/>
      <c r="Q145" s="119"/>
      <c r="R145" s="239"/>
      <c r="S145" s="118"/>
      <c r="T145" s="119"/>
      <c r="U145" s="273"/>
      <c r="AB145" s="297" t="s">
        <v>120</v>
      </c>
      <c r="AC145" s="290"/>
      <c r="AD145" s="288">
        <v>2231.59</v>
      </c>
      <c r="AE145" s="288">
        <v>2560.08</v>
      </c>
      <c r="AF145" s="288">
        <v>2382.9499999999998</v>
      </c>
      <c r="AG145" s="288">
        <v>3717.09</v>
      </c>
      <c r="AH145" s="288">
        <v>4228.24</v>
      </c>
      <c r="AI145" s="384">
        <v>3809.74</v>
      </c>
      <c r="AJ145" s="437">
        <v>2653.91</v>
      </c>
      <c r="AK145" s="177">
        <v>3508.56</v>
      </c>
      <c r="AL145" s="288">
        <v>5018.2299999999996</v>
      </c>
      <c r="AM145" s="288">
        <v>4060.46</v>
      </c>
      <c r="AN145" s="288">
        <v>3331.31</v>
      </c>
    </row>
    <row r="146" spans="1:40" ht="15.75" thickBot="1" x14ac:dyDescent="0.3">
      <c r="A146" s="29"/>
      <c r="B146" s="209">
        <v>2020</v>
      </c>
      <c r="C146" s="329"/>
      <c r="D146" s="116"/>
      <c r="E146" s="141"/>
      <c r="F146" s="116"/>
      <c r="G146" s="116"/>
      <c r="H146" s="141"/>
      <c r="I146" s="116"/>
      <c r="J146" s="116"/>
      <c r="K146" s="116"/>
      <c r="L146" s="116"/>
      <c r="M146" s="116"/>
      <c r="N146" s="116"/>
      <c r="O146" s="117"/>
      <c r="P146" s="239"/>
      <c r="Q146" s="119"/>
      <c r="R146" s="239"/>
      <c r="S146" s="118"/>
      <c r="T146" s="119"/>
      <c r="U146" s="273"/>
      <c r="AB146" s="297" t="s">
        <v>121</v>
      </c>
      <c r="AC146" s="290"/>
      <c r="AD146" s="288">
        <v>2228.17</v>
      </c>
      <c r="AE146" s="288">
        <v>2728.54</v>
      </c>
      <c r="AF146" s="288">
        <v>2378.3200000000002</v>
      </c>
      <c r="AG146" s="288">
        <v>3514.51</v>
      </c>
      <c r="AH146" s="288">
        <v>4057.22</v>
      </c>
      <c r="AI146" s="384">
        <v>3922.07</v>
      </c>
      <c r="AJ146" s="437">
        <v>2676.21</v>
      </c>
      <c r="AK146" s="177">
        <v>3534.42</v>
      </c>
      <c r="AL146" s="288">
        <v>5507.25</v>
      </c>
      <c r="AM146" s="288">
        <v>3732.32</v>
      </c>
      <c r="AN146" s="288">
        <v>3740.26</v>
      </c>
    </row>
    <row r="147" spans="1:40" ht="15.75" thickBot="1" x14ac:dyDescent="0.3">
      <c r="A147" s="29"/>
      <c r="B147" s="209">
        <v>2019</v>
      </c>
      <c r="C147" s="329"/>
      <c r="D147" s="116"/>
      <c r="E147" s="141"/>
      <c r="F147" s="116"/>
      <c r="G147" s="116"/>
      <c r="H147" s="141"/>
      <c r="I147" s="116"/>
      <c r="J147" s="116"/>
      <c r="K147" s="116"/>
      <c r="L147" s="116"/>
      <c r="M147" s="116"/>
      <c r="N147" s="116"/>
      <c r="O147" s="117"/>
      <c r="P147" s="239"/>
      <c r="Q147" s="119"/>
      <c r="R147" s="239"/>
      <c r="S147" s="118"/>
      <c r="T147" s="119"/>
      <c r="U147" s="273"/>
      <c r="AB147" s="297" t="s">
        <v>122</v>
      </c>
      <c r="AC147" s="290"/>
      <c r="AD147" s="288">
        <v>2243.39</v>
      </c>
      <c r="AE147" s="288">
        <v>2778.91</v>
      </c>
      <c r="AF147" s="288">
        <v>2417.81</v>
      </c>
      <c r="AG147" s="288">
        <v>3525.65</v>
      </c>
      <c r="AH147" s="288">
        <v>3837.19</v>
      </c>
      <c r="AI147" s="384">
        <v>3691.78</v>
      </c>
      <c r="AJ147" s="437">
        <v>2758.25</v>
      </c>
      <c r="AK147" s="177">
        <v>3602.13</v>
      </c>
      <c r="AL147" s="288">
        <v>4833.1499999999996</v>
      </c>
      <c r="AM147" s="288">
        <v>3345.25</v>
      </c>
      <c r="AN147" s="288">
        <v>4047.05</v>
      </c>
    </row>
    <row r="148" spans="1:40" ht="15.75" thickBot="1" x14ac:dyDescent="0.3">
      <c r="A148" s="29"/>
      <c r="B148" s="209">
        <v>2018</v>
      </c>
      <c r="C148" s="107"/>
      <c r="D148" s="116"/>
      <c r="E148" s="309"/>
      <c r="F148" s="116"/>
      <c r="G148" s="116"/>
      <c r="H148" s="309"/>
      <c r="I148" s="116"/>
      <c r="J148" s="116"/>
      <c r="K148" s="116"/>
      <c r="L148" s="116"/>
      <c r="M148" s="116"/>
      <c r="N148" s="116"/>
      <c r="O148" s="117"/>
      <c r="P148" s="239"/>
      <c r="Q148" s="119"/>
      <c r="R148" s="239"/>
      <c r="S148" s="118"/>
      <c r="T148" s="119"/>
      <c r="U148" s="273"/>
      <c r="AB148" s="297" t="s">
        <v>123</v>
      </c>
      <c r="AC148" s="290"/>
      <c r="AD148" s="288">
        <v>2309.6799999999998</v>
      </c>
      <c r="AE148" s="288">
        <v>2573.65</v>
      </c>
      <c r="AF148" s="288">
        <v>2609.77</v>
      </c>
      <c r="AG148" s="288">
        <v>3429.89</v>
      </c>
      <c r="AH148" s="288">
        <v>4054.85</v>
      </c>
      <c r="AI148" s="384">
        <v>3456.38</v>
      </c>
      <c r="AJ148" s="437">
        <v>2742.73</v>
      </c>
      <c r="AK148" s="177">
        <v>3610.36</v>
      </c>
      <c r="AL148" s="288">
        <v>4629.3599999999997</v>
      </c>
      <c r="AM148" s="288">
        <v>3157.41</v>
      </c>
      <c r="AN148" s="288">
        <v>3849.79</v>
      </c>
    </row>
    <row r="149" spans="1:40" x14ac:dyDescent="0.25">
      <c r="A149" s="32" t="s">
        <v>19</v>
      </c>
      <c r="B149" s="209">
        <v>2017</v>
      </c>
      <c r="C149" s="26"/>
      <c r="D149" s="120"/>
      <c r="E149" s="128"/>
      <c r="F149" s="121"/>
      <c r="G149" s="120"/>
      <c r="H149" s="128"/>
      <c r="I149" s="121"/>
      <c r="J149" s="121"/>
      <c r="K149" s="121"/>
      <c r="L149" s="121"/>
      <c r="M149" s="121"/>
      <c r="N149" s="121"/>
      <c r="O149" s="122"/>
      <c r="P149" s="240"/>
      <c r="Q149" s="124"/>
      <c r="R149" s="250"/>
      <c r="S149" s="125"/>
      <c r="T149" s="126"/>
      <c r="U149" s="273"/>
      <c r="AB149" s="297" t="s">
        <v>124</v>
      </c>
      <c r="AC149" s="290"/>
      <c r="AD149" s="288">
        <v>2482.52</v>
      </c>
      <c r="AE149" s="288">
        <v>2578.11</v>
      </c>
      <c r="AF149" s="288">
        <v>2551.58</v>
      </c>
      <c r="AG149" s="288">
        <v>3538.78</v>
      </c>
      <c r="AH149" s="288">
        <v>3487.18</v>
      </c>
      <c r="AI149" s="384">
        <v>3204.58</v>
      </c>
      <c r="AJ149" s="437">
        <v>2937.54</v>
      </c>
      <c r="AK149" s="177">
        <v>3698.5</v>
      </c>
      <c r="AL149" s="288">
        <v>4018.21</v>
      </c>
      <c r="AM149" s="288">
        <v>3177.58</v>
      </c>
      <c r="AN149" s="288">
        <v>3809.32</v>
      </c>
    </row>
    <row r="150" spans="1:40" x14ac:dyDescent="0.25">
      <c r="A150" s="104" t="s">
        <v>44</v>
      </c>
      <c r="B150" s="209">
        <v>2016</v>
      </c>
      <c r="C150" s="26"/>
      <c r="D150" s="127"/>
      <c r="E150" s="128"/>
      <c r="F150" s="129"/>
      <c r="G150" s="127"/>
      <c r="H150" s="128"/>
      <c r="I150" s="129"/>
      <c r="J150" s="129"/>
      <c r="K150" s="129"/>
      <c r="L150" s="129"/>
      <c r="M150" s="129"/>
      <c r="N150" s="129"/>
      <c r="O150" s="130"/>
      <c r="P150" s="221"/>
      <c r="Q150" s="132"/>
      <c r="R150" s="251"/>
      <c r="S150" s="131"/>
      <c r="T150" s="133"/>
      <c r="U150" s="273"/>
      <c r="AB150" s="297" t="s">
        <v>125</v>
      </c>
      <c r="AC150" s="290"/>
      <c r="AD150" s="288">
        <v>2542.7600000000002</v>
      </c>
      <c r="AE150" s="288">
        <v>2376.66</v>
      </c>
      <c r="AF150" s="288">
        <v>2960.19</v>
      </c>
      <c r="AG150" s="288">
        <v>3758.16</v>
      </c>
      <c r="AH150" s="288">
        <v>3275.78</v>
      </c>
      <c r="AI150" s="384">
        <v>3017.78</v>
      </c>
      <c r="AJ150" s="437">
        <v>3189.22</v>
      </c>
      <c r="AK150" s="177">
        <v>3766</v>
      </c>
      <c r="AL150" s="288">
        <v>4632.51</v>
      </c>
      <c r="AM150" s="288">
        <v>3245.03</v>
      </c>
      <c r="AN150" s="288">
        <v>3705.16</v>
      </c>
    </row>
    <row r="151" spans="1:40" ht="15.75" thickBot="1" x14ac:dyDescent="0.3">
      <c r="A151" s="29"/>
      <c r="B151" s="209">
        <v>2015</v>
      </c>
      <c r="C151" s="26"/>
      <c r="D151" s="127"/>
      <c r="E151" s="128"/>
      <c r="F151" s="129"/>
      <c r="G151" s="127"/>
      <c r="H151" s="128"/>
      <c r="I151" s="129"/>
      <c r="J151" s="129"/>
      <c r="K151" s="129"/>
      <c r="L151" s="129"/>
      <c r="M151" s="129"/>
      <c r="N151" s="129"/>
      <c r="O151" s="130"/>
      <c r="P151" s="221"/>
      <c r="Q151" s="132"/>
      <c r="R151" s="252"/>
      <c r="S151" s="134"/>
      <c r="T151" s="135"/>
      <c r="U151" s="273"/>
      <c r="AB151" s="297" t="s">
        <v>126</v>
      </c>
      <c r="AC151" s="290"/>
      <c r="AD151" s="288">
        <v>2524.5100000000002</v>
      </c>
      <c r="AE151" s="288">
        <v>2282.2199999999998</v>
      </c>
      <c r="AF151" s="288">
        <v>3004.82</v>
      </c>
      <c r="AG151" s="288">
        <v>3825.63</v>
      </c>
      <c r="AH151" s="288">
        <v>3175.61</v>
      </c>
      <c r="AI151" s="384">
        <v>3087.14</v>
      </c>
      <c r="AJ151" s="437">
        <v>3233.24</v>
      </c>
      <c r="AK151" s="177">
        <v>3851.67</v>
      </c>
      <c r="AL151" s="288">
        <v>4162.5600000000004</v>
      </c>
      <c r="AM151" s="288">
        <v>3380.82</v>
      </c>
      <c r="AN151" s="288">
        <v>3843.09</v>
      </c>
    </row>
    <row r="152" spans="1:40" ht="15.75" thickBot="1" x14ac:dyDescent="0.3">
      <c r="A152" s="29"/>
      <c r="B152" s="210">
        <v>2014</v>
      </c>
      <c r="C152" s="27"/>
      <c r="D152" s="19">
        <v>16102</v>
      </c>
      <c r="E152" s="20">
        <f>+$AG$176</f>
        <v>1628.9166666666667</v>
      </c>
      <c r="F152" s="21">
        <f>+D152*E152</f>
        <v>26228816.166666668</v>
      </c>
      <c r="G152" s="34">
        <v>129</v>
      </c>
      <c r="H152" s="23">
        <f>+$AD$196</f>
        <v>20.659166666666664</v>
      </c>
      <c r="I152" s="24">
        <f>+G152*H152</f>
        <v>2665.0324999999998</v>
      </c>
      <c r="J152" s="25"/>
      <c r="K152" s="25"/>
      <c r="L152" s="25"/>
      <c r="M152" s="25"/>
      <c r="N152" s="25"/>
      <c r="O152" s="57"/>
      <c r="P152" s="219">
        <f>20354631*AC52</f>
        <v>22613995.041000001</v>
      </c>
      <c r="Q152" s="66">
        <f>+S152/P152</f>
        <v>9.9999847700506083E-3</v>
      </c>
      <c r="R152" s="253">
        <f>+(F152+I152)*$AC$52</f>
        <v>29143175.612274166</v>
      </c>
      <c r="S152" s="219">
        <f>203546*$AC$52</f>
        <v>226139.606</v>
      </c>
      <c r="T152" s="89">
        <f>+S152/R152</f>
        <v>7.759607566745653E-3</v>
      </c>
      <c r="U152" s="273"/>
      <c r="W152" s="1"/>
      <c r="AB152" s="297" t="s">
        <v>127</v>
      </c>
      <c r="AC152" s="290"/>
      <c r="AD152" s="288">
        <v>2552.12</v>
      </c>
      <c r="AE152" s="288">
        <v>2254.17</v>
      </c>
      <c r="AF152" s="288">
        <v>3059.41</v>
      </c>
      <c r="AG152" s="288">
        <v>4105.8</v>
      </c>
      <c r="AH152" s="288">
        <v>3479.26</v>
      </c>
      <c r="AI152" s="384">
        <v>3234.14</v>
      </c>
      <c r="AJ152" s="437">
        <v>3225.25</v>
      </c>
      <c r="AK152" s="177">
        <v>4178.5200000000004</v>
      </c>
      <c r="AL152" s="288">
        <v>4065.25</v>
      </c>
      <c r="AM152" s="288">
        <v>3356.64</v>
      </c>
      <c r="AN152" s="288">
        <v>4264.1400000000003</v>
      </c>
    </row>
    <row r="153" spans="1:40" ht="15.75" thickBot="1" x14ac:dyDescent="0.3">
      <c r="A153" s="29"/>
      <c r="B153" s="14"/>
      <c r="C153" s="14"/>
      <c r="D153" s="14"/>
      <c r="E153" s="14"/>
      <c r="F153" s="14"/>
      <c r="G153" s="14"/>
      <c r="H153" s="14"/>
      <c r="I153" s="14"/>
      <c r="J153" s="17"/>
      <c r="K153" s="17"/>
      <c r="L153" s="17"/>
      <c r="M153" s="17"/>
      <c r="N153" s="17"/>
      <c r="O153" s="17"/>
      <c r="P153" s="514">
        <f>SUM(P147:P152)</f>
        <v>22613995.041000001</v>
      </c>
      <c r="R153" s="229"/>
      <c r="S153" s="514">
        <f>SUM(S147:S152)</f>
        <v>226139.606</v>
      </c>
      <c r="T153" s="16"/>
      <c r="U153" s="273"/>
      <c r="AB153" s="297" t="s">
        <v>128</v>
      </c>
      <c r="AC153" s="290"/>
      <c r="AD153" s="288">
        <v>2550.69</v>
      </c>
      <c r="AE153" s="288">
        <v>2101.8200000000002</v>
      </c>
      <c r="AF153" s="288">
        <v>3443.77</v>
      </c>
      <c r="AG153" s="288">
        <v>4123.38</v>
      </c>
      <c r="AH153" s="288">
        <v>3425.97</v>
      </c>
      <c r="AI153" s="384">
        <v>3208.67</v>
      </c>
      <c r="AJ153" s="437">
        <v>3495.29</v>
      </c>
      <c r="AK153" s="177">
        <v>4148.5200000000004</v>
      </c>
      <c r="AL153" s="288">
        <v>3955.25</v>
      </c>
      <c r="AM153" s="288">
        <v>3489.56</v>
      </c>
      <c r="AN153" s="288">
        <v>4196.66</v>
      </c>
    </row>
    <row r="154" spans="1:40" ht="15.75" thickBot="1" x14ac:dyDescent="0.3">
      <c r="A154" s="29"/>
      <c r="B154" s="666"/>
      <c r="C154" s="1172" t="s">
        <v>9</v>
      </c>
      <c r="D154" s="1299" t="s">
        <v>5</v>
      </c>
      <c r="E154" s="48" t="s">
        <v>1</v>
      </c>
      <c r="F154" s="48" t="s">
        <v>3</v>
      </c>
      <c r="G154" s="49" t="s">
        <v>21</v>
      </c>
      <c r="H154" s="1186" t="s">
        <v>175</v>
      </c>
      <c r="I154" s="1006" t="s">
        <v>4</v>
      </c>
      <c r="J154" s="71"/>
      <c r="K154" s="50"/>
      <c r="L154" s="50"/>
      <c r="M154" s="50"/>
      <c r="N154" s="50"/>
      <c r="O154" s="69"/>
      <c r="P154" s="238" t="s">
        <v>40</v>
      </c>
      <c r="Q154" s="1077" t="s">
        <v>41</v>
      </c>
      <c r="R154" s="261" t="s">
        <v>113</v>
      </c>
      <c r="S154" s="1008" t="s">
        <v>2</v>
      </c>
      <c r="T154" s="98" t="s">
        <v>42</v>
      </c>
      <c r="U154" s="273"/>
      <c r="AB154" s="298" t="s">
        <v>129</v>
      </c>
      <c r="AC154" s="291"/>
      <c r="AD154" s="289">
        <v>2506.19</v>
      </c>
      <c r="AE154" s="289">
        <v>2093.79</v>
      </c>
      <c r="AF154" s="289">
        <v>3552.02</v>
      </c>
      <c r="AG154" s="289">
        <v>4085.85</v>
      </c>
      <c r="AH154" s="387">
        <v>3505.53</v>
      </c>
      <c r="AI154" s="385">
        <v>2997.48</v>
      </c>
      <c r="AJ154" s="438">
        <v>3561.81</v>
      </c>
      <c r="AK154" s="378">
        <v>4347.3500000000004</v>
      </c>
      <c r="AL154" s="289">
        <v>4255.25</v>
      </c>
      <c r="AM154" s="289">
        <v>3371.1</v>
      </c>
      <c r="AN154" s="289"/>
    </row>
    <row r="155" spans="1:40" ht="15.75" thickBot="1" x14ac:dyDescent="0.3">
      <c r="A155" s="29"/>
      <c r="B155" s="531">
        <v>2023</v>
      </c>
      <c r="C155" s="579"/>
      <c r="D155" s="1285">
        <v>90327</v>
      </c>
      <c r="E155" s="589">
        <f>+$AM$176</f>
        <v>2622.3766666666666</v>
      </c>
      <c r="F155" s="949">
        <f t="shared" ref="F155:F164" si="50">+D155*E155</f>
        <v>236871417.16999999</v>
      </c>
      <c r="G155" s="956">
        <v>36754</v>
      </c>
      <c r="H155" s="1289">
        <f>+$AM$196</f>
        <v>31.355833333333337</v>
      </c>
      <c r="I155" s="562">
        <f t="shared" ref="I155:I164" si="51">+G155*H155</f>
        <v>1152452.2983333333</v>
      </c>
      <c r="J155" s="455"/>
      <c r="K155" s="454"/>
      <c r="L155" s="454"/>
      <c r="M155" s="454"/>
      <c r="N155" s="454"/>
      <c r="O155" s="548"/>
      <c r="P155" s="458">
        <f>138608421*AC43</f>
        <v>187079785.82369998</v>
      </c>
      <c r="Q155" s="406">
        <f t="shared" ref="Q155:Q164" si="52">+S155/P155</f>
        <v>2.7215763463606588E-2</v>
      </c>
      <c r="R155" s="610">
        <f t="shared" ref="R155:R164" si="53">+(F155+I155)*AC43</f>
        <v>321260816.62140948</v>
      </c>
      <c r="S155" s="1302">
        <f>3772334*AC43</f>
        <v>5091519.1997999996</v>
      </c>
      <c r="T155" s="630">
        <f t="shared" ref="T155:T164" si="54">+S155/R155</f>
        <v>1.5848553375870024E-2</v>
      </c>
      <c r="U155" s="273"/>
      <c r="AB155" s="304" t="s">
        <v>133</v>
      </c>
      <c r="AC155" s="299"/>
      <c r="AD155" s="302">
        <f t="shared" ref="AD155:AM155" si="55">SUM(AD143:AD154)/12</f>
        <v>2387.4058333333332</v>
      </c>
      <c r="AE155" s="302">
        <f t="shared" si="55"/>
        <v>2759.771666666667</v>
      </c>
      <c r="AF155" s="302">
        <f t="shared" si="55"/>
        <v>2739.9774999999995</v>
      </c>
      <c r="AG155" s="302">
        <f t="shared" si="55"/>
        <v>3744.7549999999997</v>
      </c>
      <c r="AH155" s="303">
        <f t="shared" si="55"/>
        <v>3770.6966666666663</v>
      </c>
      <c r="AI155" s="382">
        <f t="shared" si="55"/>
        <v>3385.2758333333331</v>
      </c>
      <c r="AJ155" s="382">
        <f t="shared" si="55"/>
        <v>3029.9241666666662</v>
      </c>
      <c r="AK155" s="379">
        <f t="shared" si="55"/>
        <v>3764.4091666666677</v>
      </c>
      <c r="AL155" s="379">
        <f t="shared" si="55"/>
        <v>4518.475833333333</v>
      </c>
      <c r="AM155" s="379">
        <f t="shared" si="55"/>
        <v>3581.0416666666661</v>
      </c>
      <c r="AN155" s="379"/>
    </row>
    <row r="156" spans="1:40" x14ac:dyDescent="0.25">
      <c r="A156" s="29"/>
      <c r="B156" s="531">
        <v>2022</v>
      </c>
      <c r="C156" s="580"/>
      <c r="D156" s="1285">
        <v>66504</v>
      </c>
      <c r="E156" s="589">
        <f>+$AL$176</f>
        <v>2341.2400000000002</v>
      </c>
      <c r="F156" s="949">
        <f t="shared" si="50"/>
        <v>155701824.96000001</v>
      </c>
      <c r="G156" s="956">
        <v>74733</v>
      </c>
      <c r="H156" s="1289">
        <f>+$AL$196</f>
        <v>28.558333333333337</v>
      </c>
      <c r="I156" s="562">
        <f t="shared" si="51"/>
        <v>2134249.9250000003</v>
      </c>
      <c r="J156" s="455"/>
      <c r="K156" s="454"/>
      <c r="L156" s="454"/>
      <c r="M156" s="454"/>
      <c r="N156" s="454"/>
      <c r="O156" s="548"/>
      <c r="P156" s="458">
        <f>82899475*AC44</f>
        <v>107305080.44</v>
      </c>
      <c r="Q156" s="406">
        <f t="shared" si="52"/>
        <v>1.7097756047309107E-2</v>
      </c>
      <c r="R156" s="610">
        <f t="shared" si="53"/>
        <v>204303015.33114403</v>
      </c>
      <c r="S156" s="850">
        <f>1417395*AC44</f>
        <v>1834676.088</v>
      </c>
      <c r="T156" s="630">
        <f t="shared" si="54"/>
        <v>8.9801713647068293E-3</v>
      </c>
      <c r="U156" s="273"/>
      <c r="AB156" s="305"/>
      <c r="AC156" s="306"/>
      <c r="AD156" s="307"/>
      <c r="AE156" s="307"/>
      <c r="AF156" s="307"/>
      <c r="AG156" s="307"/>
      <c r="AH156" s="307"/>
      <c r="AI156" s="307"/>
      <c r="AJ156" s="307"/>
      <c r="AK156" s="307"/>
    </row>
    <row r="157" spans="1:40" x14ac:dyDescent="0.25">
      <c r="A157" s="29"/>
      <c r="B157" s="209">
        <v>2021</v>
      </c>
      <c r="C157" s="631"/>
      <c r="D157" s="697">
        <v>34179</v>
      </c>
      <c r="E157" s="589">
        <f>+$AK$176</f>
        <v>2256.1483333333331</v>
      </c>
      <c r="F157" s="949">
        <f t="shared" si="50"/>
        <v>77112893.88499999</v>
      </c>
      <c r="G157" s="597">
        <v>17176</v>
      </c>
      <c r="H157" s="1290">
        <f>+$AK$196</f>
        <v>32.092500000000001</v>
      </c>
      <c r="I157" s="563">
        <f t="shared" si="51"/>
        <v>551220.78</v>
      </c>
      <c r="J157" s="455"/>
      <c r="K157" s="454"/>
      <c r="L157" s="454"/>
      <c r="M157" s="454"/>
      <c r="N157" s="454"/>
      <c r="O157" s="548"/>
      <c r="P157" s="458">
        <f>30136844*AC45</f>
        <v>40283165.953699999</v>
      </c>
      <c r="Q157" s="408">
        <f t="shared" si="52"/>
        <v>9.9999853999310599E-3</v>
      </c>
      <c r="R157" s="614">
        <f t="shared" si="53"/>
        <v>103811680.46983886</v>
      </c>
      <c r="S157" s="611">
        <f>301368*$AC$45</f>
        <v>402831.07139999996</v>
      </c>
      <c r="T157" s="575">
        <f t="shared" si="54"/>
        <v>3.8804021818820023E-3</v>
      </c>
      <c r="U157" s="330" t="s">
        <v>143</v>
      </c>
      <c r="AB157" s="305"/>
      <c r="AC157" s="306"/>
      <c r="AD157" s="307"/>
      <c r="AE157" s="307"/>
      <c r="AF157" s="307"/>
      <c r="AG157" s="307"/>
      <c r="AH157" s="307"/>
      <c r="AI157" s="307"/>
      <c r="AJ157" s="307"/>
      <c r="AK157" s="307"/>
    </row>
    <row r="158" spans="1:40" x14ac:dyDescent="0.25">
      <c r="A158" s="29"/>
      <c r="B158" s="209">
        <v>2020</v>
      </c>
      <c r="C158" s="580"/>
      <c r="D158" s="1285">
        <v>81386</v>
      </c>
      <c r="E158" s="553">
        <f>+$AJ$176</f>
        <v>2372.0100000000002</v>
      </c>
      <c r="F158" s="949">
        <f t="shared" si="50"/>
        <v>193048405.86000001</v>
      </c>
      <c r="G158" s="700">
        <v>109973</v>
      </c>
      <c r="H158" s="1291">
        <f>+AJ$196</f>
        <v>25.967500000000001</v>
      </c>
      <c r="I158" s="604">
        <f t="shared" si="51"/>
        <v>2855723.8774999999</v>
      </c>
      <c r="J158" s="111"/>
      <c r="K158" s="112"/>
      <c r="L158" s="112"/>
      <c r="M158" s="112"/>
      <c r="N158" s="112"/>
      <c r="O158" s="456"/>
      <c r="P158" s="458">
        <f>120101336*AC46</f>
        <v>161115942.24399999</v>
      </c>
      <c r="Q158" s="408">
        <f t="shared" si="52"/>
        <v>2.4584489218338088E-2</v>
      </c>
      <c r="R158" s="614">
        <f t="shared" si="53"/>
        <v>262805390.04285625</v>
      </c>
      <c r="S158" s="611">
        <f>2952630*$AC$46</f>
        <v>3960953.1449999996</v>
      </c>
      <c r="T158" s="575">
        <f t="shared" si="54"/>
        <v>1.5071810910552779E-2</v>
      </c>
      <c r="U158" s="273"/>
      <c r="AB158" s="305"/>
      <c r="AC158" s="306"/>
      <c r="AD158" s="307"/>
      <c r="AE158" s="307"/>
      <c r="AF158" s="307"/>
      <c r="AG158" s="307"/>
      <c r="AH158" s="307"/>
      <c r="AI158" s="307"/>
      <c r="AJ158" s="307"/>
    </row>
    <row r="159" spans="1:40" x14ac:dyDescent="0.25">
      <c r="A159" s="29"/>
      <c r="B159" s="209">
        <v>2019</v>
      </c>
      <c r="C159" s="580"/>
      <c r="D159" s="1286">
        <v>93726</v>
      </c>
      <c r="E159" s="553">
        <f>+$AI$176</f>
        <v>1840.5</v>
      </c>
      <c r="F159" s="949">
        <f t="shared" si="50"/>
        <v>172502703</v>
      </c>
      <c r="G159" s="599">
        <v>98962</v>
      </c>
      <c r="H159" s="1292">
        <f>+AI$196</f>
        <v>21.444166666666664</v>
      </c>
      <c r="I159" s="563">
        <f t="shared" si="51"/>
        <v>2122157.6216666666</v>
      </c>
      <c r="J159" s="551"/>
      <c r="K159" s="10"/>
      <c r="L159" s="10"/>
      <c r="M159" s="10"/>
      <c r="N159" s="10"/>
      <c r="O159" s="56"/>
      <c r="P159" s="212">
        <f>111649400*AC47</f>
        <v>140678244</v>
      </c>
      <c r="Q159" s="408">
        <f t="shared" si="52"/>
        <v>2.4245190748897888E-2</v>
      </c>
      <c r="R159" s="453">
        <f t="shared" si="53"/>
        <v>220027324.38330001</v>
      </c>
      <c r="S159" s="611">
        <f>2706961*$AC$47</f>
        <v>3410770.86</v>
      </c>
      <c r="T159" s="575">
        <f t="shared" si="54"/>
        <v>1.5501578586022547E-2</v>
      </c>
      <c r="U159" s="273"/>
    </row>
    <row r="160" spans="1:40" x14ac:dyDescent="0.25">
      <c r="A160" s="29"/>
      <c r="B160" s="209">
        <v>2018</v>
      </c>
      <c r="C160" s="580"/>
      <c r="D160" s="15">
        <v>123986</v>
      </c>
      <c r="E160" s="554">
        <f>+$AH$176</f>
        <v>1640.75</v>
      </c>
      <c r="F160" s="322">
        <f t="shared" si="50"/>
        <v>203430029.5</v>
      </c>
      <c r="G160" s="598">
        <v>74766</v>
      </c>
      <c r="H160" s="1292">
        <f>+$AH$196</f>
        <v>20.309166666666666</v>
      </c>
      <c r="I160" s="604">
        <f t="shared" si="51"/>
        <v>1518435.155</v>
      </c>
      <c r="J160" s="862"/>
      <c r="K160" s="47"/>
      <c r="L160" s="47"/>
      <c r="M160" s="47"/>
      <c r="N160" s="47"/>
      <c r="O160" s="55"/>
      <c r="P160" s="212">
        <f>134721639*AC48</f>
        <v>174558827.6523</v>
      </c>
      <c r="Q160" s="408">
        <f t="shared" si="52"/>
        <v>2.5799515399304192E-2</v>
      </c>
      <c r="R160" s="615">
        <f t="shared" si="53"/>
        <v>265551725.65348351</v>
      </c>
      <c r="S160" s="611">
        <f>3475753*$AC$48</f>
        <v>4503533.1621000003</v>
      </c>
      <c r="T160" s="575">
        <f t="shared" si="54"/>
        <v>1.6959156077850639E-2</v>
      </c>
      <c r="U160" s="273"/>
    </row>
    <row r="161" spans="1:40" x14ac:dyDescent="0.25">
      <c r="A161" s="29"/>
      <c r="B161" s="209">
        <v>2017</v>
      </c>
      <c r="C161" s="76"/>
      <c r="D161" s="698">
        <v>124970</v>
      </c>
      <c r="E161" s="555">
        <f>+$AG$176</f>
        <v>1628.9166666666667</v>
      </c>
      <c r="F161" s="896">
        <f t="shared" si="50"/>
        <v>203565715.83333334</v>
      </c>
      <c r="G161" s="599">
        <v>92811</v>
      </c>
      <c r="H161" s="1293">
        <f>+$AG$196</f>
        <v>22.250833333333333</v>
      </c>
      <c r="I161" s="563">
        <f t="shared" si="51"/>
        <v>2065122.0925</v>
      </c>
      <c r="J161" s="551"/>
      <c r="K161" s="10"/>
      <c r="L161" s="10"/>
      <c r="M161" s="10"/>
      <c r="N161" s="10"/>
      <c r="O161" s="56"/>
      <c r="P161" s="212">
        <f>124706739*AC49</f>
        <v>161944171.26539999</v>
      </c>
      <c r="Q161" s="408">
        <f t="shared" si="52"/>
        <v>2.5712267241628377E-2</v>
      </c>
      <c r="R161" s="615">
        <f t="shared" si="53"/>
        <v>267032206.13048717</v>
      </c>
      <c r="S161" s="611">
        <f>3206493*$AC$49</f>
        <v>4163951.8097999999</v>
      </c>
      <c r="T161" s="575">
        <f t="shared" si="54"/>
        <v>1.5593444214610036E-2</v>
      </c>
      <c r="U161" s="273"/>
      <c r="X161" s="1"/>
    </row>
    <row r="162" spans="1:40" ht="15.75" thickBot="1" x14ac:dyDescent="0.3">
      <c r="A162" s="29"/>
      <c r="B162" s="209">
        <v>2016</v>
      </c>
      <c r="C162" s="76"/>
      <c r="D162" s="698">
        <v>68395</v>
      </c>
      <c r="E162" s="555">
        <f>+$AF$176</f>
        <v>1667.6666666666667</v>
      </c>
      <c r="F162" s="896">
        <f t="shared" si="50"/>
        <v>114060061.66666667</v>
      </c>
      <c r="G162" s="599">
        <v>67587</v>
      </c>
      <c r="H162" s="1293">
        <f>+$AF$196</f>
        <v>22.529166666666669</v>
      </c>
      <c r="I162" s="563">
        <f t="shared" si="51"/>
        <v>1522678.7875000001</v>
      </c>
      <c r="J162" s="551"/>
      <c r="K162" s="10"/>
      <c r="L162" s="10"/>
      <c r="M162" s="10"/>
      <c r="N162" s="10"/>
      <c r="O162" s="56"/>
      <c r="P162" s="212">
        <f>57803468*AC50</f>
        <v>76578034.406399995</v>
      </c>
      <c r="Q162" s="408">
        <f t="shared" si="52"/>
        <v>1.0000005536000021E-2</v>
      </c>
      <c r="R162" s="615">
        <f t="shared" si="53"/>
        <v>153124014.55368</v>
      </c>
      <c r="S162" s="611">
        <f>578035*$AC$50</f>
        <v>765780.76800000004</v>
      </c>
      <c r="T162" s="575">
        <f t="shared" si="54"/>
        <v>5.0010494450009584E-3</v>
      </c>
      <c r="U162" s="273"/>
      <c r="AA162" s="389" t="s">
        <v>160</v>
      </c>
      <c r="AB162" t="s">
        <v>148</v>
      </c>
      <c r="AC162" s="1099" t="s">
        <v>158</v>
      </c>
    </row>
    <row r="163" spans="1:40" ht="15.75" thickBot="1" x14ac:dyDescent="0.3">
      <c r="A163" s="29"/>
      <c r="B163" s="209">
        <v>2015</v>
      </c>
      <c r="C163" s="76"/>
      <c r="D163" s="1287">
        <v>64773</v>
      </c>
      <c r="E163" s="555">
        <f>+$AE$176</f>
        <v>1474.75</v>
      </c>
      <c r="F163" s="896">
        <f t="shared" si="50"/>
        <v>95523981.75</v>
      </c>
      <c r="G163" s="860">
        <v>65071</v>
      </c>
      <c r="H163" s="1293">
        <f>+$AE$196</f>
        <v>19.943333333333332</v>
      </c>
      <c r="I163" s="563">
        <f t="shared" si="51"/>
        <v>1297732.6433333333</v>
      </c>
      <c r="J163" s="551"/>
      <c r="K163" s="10"/>
      <c r="L163" s="10"/>
      <c r="M163" s="10"/>
      <c r="N163" s="10"/>
      <c r="O163" s="56"/>
      <c r="P163" s="212">
        <f>55341746*AC51</f>
        <v>70765490.610200003</v>
      </c>
      <c r="Q163" s="408">
        <f t="shared" si="52"/>
        <v>9.9999916880107106E-3</v>
      </c>
      <c r="R163" s="615">
        <f t="shared" si="53"/>
        <v>123805926.19475533</v>
      </c>
      <c r="S163" s="611">
        <f>553417*$AC$51</f>
        <v>707654.31790000002</v>
      </c>
      <c r="T163" s="575">
        <f t="shared" si="54"/>
        <v>5.7158355795247683E-3</v>
      </c>
      <c r="U163" s="273"/>
      <c r="AB163" s="75" t="s">
        <v>131</v>
      </c>
      <c r="AC163" s="439"/>
      <c r="AD163" s="440">
        <v>2014</v>
      </c>
      <c r="AE163" s="440">
        <v>2015</v>
      </c>
      <c r="AF163" s="440">
        <v>2016</v>
      </c>
      <c r="AG163" s="440">
        <v>2017</v>
      </c>
      <c r="AH163" s="441">
        <v>2018</v>
      </c>
      <c r="AI163" s="315">
        <v>2019</v>
      </c>
      <c r="AJ163" s="388">
        <v>2020</v>
      </c>
      <c r="AK163" s="388">
        <v>2021</v>
      </c>
      <c r="AL163" s="388">
        <v>2022</v>
      </c>
      <c r="AM163" s="388">
        <v>2023</v>
      </c>
      <c r="AN163" s="388">
        <v>2024</v>
      </c>
    </row>
    <row r="164" spans="1:40" ht="15.75" thickBot="1" x14ac:dyDescent="0.3">
      <c r="A164" s="30"/>
      <c r="B164" s="210">
        <v>2014</v>
      </c>
      <c r="C164" s="77"/>
      <c r="D164" s="1284">
        <v>64928</v>
      </c>
      <c r="E164" s="758">
        <f>+$AD$176</f>
        <v>1392.9166666666667</v>
      </c>
      <c r="F164" s="1288">
        <f t="shared" si="50"/>
        <v>90439293.333333343</v>
      </c>
      <c r="G164" s="810">
        <v>82586</v>
      </c>
      <c r="H164" s="1294">
        <f>+$AD$196</f>
        <v>20.659166666666664</v>
      </c>
      <c r="I164" s="564">
        <f t="shared" si="51"/>
        <v>1706157.938333333</v>
      </c>
      <c r="J164" s="552"/>
      <c r="K164" s="25"/>
      <c r="L164" s="25"/>
      <c r="M164" s="25"/>
      <c r="N164" s="25"/>
      <c r="O164" s="57"/>
      <c r="P164" s="213">
        <f>45358342*AC52</f>
        <v>50393117.961999997</v>
      </c>
      <c r="Q164" s="618">
        <f t="shared" si="52"/>
        <v>1.0000012787063514E-2</v>
      </c>
      <c r="R164" s="616">
        <f t="shared" si="53"/>
        <v>102373596.36282167</v>
      </c>
      <c r="S164" s="612">
        <f>453584*$AC$52</f>
        <v>503931.82400000002</v>
      </c>
      <c r="T164" s="576">
        <f t="shared" si="54"/>
        <v>4.922478470073652E-3</v>
      </c>
      <c r="U164" s="273"/>
      <c r="AB164" s="301" t="s">
        <v>118</v>
      </c>
      <c r="AC164" s="443"/>
      <c r="AD164" s="386">
        <v>1312</v>
      </c>
      <c r="AE164" s="386">
        <v>1395</v>
      </c>
      <c r="AF164" s="386">
        <v>1570</v>
      </c>
      <c r="AG164" s="386">
        <v>1555</v>
      </c>
      <c r="AH164" s="444">
        <v>1635</v>
      </c>
      <c r="AI164" s="445">
        <v>1746</v>
      </c>
      <c r="AJ164" s="436">
        <v>2041.53</v>
      </c>
      <c r="AK164" s="436">
        <v>2375.1799999999998</v>
      </c>
      <c r="AL164" s="288">
        <v>2290.92</v>
      </c>
      <c r="AM164" s="288">
        <v>2548.0100000000002</v>
      </c>
      <c r="AN164" s="110">
        <v>2730.49</v>
      </c>
    </row>
    <row r="165" spans="1:40" ht="15.75" thickBot="1" x14ac:dyDescent="0.3">
      <c r="J165" s="2"/>
      <c r="K165" s="2"/>
      <c r="L165" s="2"/>
      <c r="M165" s="2"/>
      <c r="N165" s="2"/>
      <c r="O165" s="2"/>
      <c r="P165" s="514">
        <f>SUM(P156:P164)</f>
        <v>983622074.53399992</v>
      </c>
      <c r="R165" s="229"/>
      <c r="S165" s="514">
        <f>SUM(S156:S164)</f>
        <v>20254083.046199996</v>
      </c>
      <c r="AB165" s="300" t="s">
        <v>119</v>
      </c>
      <c r="AC165" s="446"/>
      <c r="AD165" s="288">
        <v>1400</v>
      </c>
      <c r="AE165" s="288">
        <v>1625</v>
      </c>
      <c r="AF165" s="288">
        <v>1618</v>
      </c>
      <c r="AG165" s="288">
        <v>1590</v>
      </c>
      <c r="AH165" s="376">
        <v>1660</v>
      </c>
      <c r="AI165" s="177">
        <v>1721</v>
      </c>
      <c r="AJ165" s="437">
        <v>2120.6</v>
      </c>
      <c r="AK165" s="437">
        <v>2296.12</v>
      </c>
      <c r="AL165" s="288">
        <v>2361.04</v>
      </c>
      <c r="AM165" s="288">
        <v>2492.77</v>
      </c>
      <c r="AN165" s="110">
        <v>2731.54</v>
      </c>
    </row>
    <row r="166" spans="1:40" ht="15.75" thickBot="1" x14ac:dyDescent="0.3">
      <c r="A166" s="78"/>
      <c r="B166" s="79"/>
      <c r="C166" s="72" t="s">
        <v>11</v>
      </c>
      <c r="D166" s="48" t="s">
        <v>5</v>
      </c>
      <c r="E166" s="48" t="s">
        <v>1</v>
      </c>
      <c r="F166" s="48" t="s">
        <v>3</v>
      </c>
      <c r="G166" s="49" t="s">
        <v>21</v>
      </c>
      <c r="H166" s="1131" t="s">
        <v>175</v>
      </c>
      <c r="I166" s="73" t="s">
        <v>4</v>
      </c>
      <c r="J166" s="71"/>
      <c r="K166" s="50"/>
      <c r="L166" s="50"/>
      <c r="M166" s="50"/>
      <c r="N166" s="50"/>
      <c r="O166" s="69"/>
      <c r="P166" s="1346" t="s">
        <v>40</v>
      </c>
      <c r="Q166" s="1224" t="s">
        <v>41</v>
      </c>
      <c r="R166" s="1346" t="s">
        <v>113</v>
      </c>
      <c r="S166" s="1005" t="s">
        <v>2</v>
      </c>
      <c r="T166" s="1224" t="s">
        <v>42</v>
      </c>
      <c r="X166" s="11"/>
      <c r="AB166" s="297" t="s">
        <v>120</v>
      </c>
      <c r="AC166" s="446"/>
      <c r="AD166" s="288">
        <v>1485</v>
      </c>
      <c r="AE166" s="288">
        <v>1474</v>
      </c>
      <c r="AF166" s="288">
        <v>1685</v>
      </c>
      <c r="AG166" s="288">
        <v>1653</v>
      </c>
      <c r="AH166" s="376">
        <v>1705</v>
      </c>
      <c r="AI166" s="177">
        <v>1714</v>
      </c>
      <c r="AJ166" s="437">
        <v>2219.36</v>
      </c>
      <c r="AK166" s="437">
        <v>2159.2600000000002</v>
      </c>
      <c r="AL166" s="288">
        <v>2466.9699999999998</v>
      </c>
      <c r="AM166" s="288">
        <v>2617.2399999999998</v>
      </c>
      <c r="AN166" s="110">
        <v>2921.12</v>
      </c>
    </row>
    <row r="167" spans="1:40" x14ac:dyDescent="0.25">
      <c r="A167" s="13"/>
      <c r="B167" s="319">
        <v>2023</v>
      </c>
      <c r="C167" s="580"/>
      <c r="D167" s="749">
        <v>233138</v>
      </c>
      <c r="E167" s="589">
        <f>+$AM$176</f>
        <v>2622.3766666666666</v>
      </c>
      <c r="F167" s="607">
        <f t="shared" ref="F167:F170" si="56">+D167*E167</f>
        <v>611375651.31333327</v>
      </c>
      <c r="G167" s="1221">
        <v>11835</v>
      </c>
      <c r="H167" s="879">
        <f>+$AM$196</f>
        <v>31.355833333333337</v>
      </c>
      <c r="I167" s="562">
        <f t="shared" ref="I167:I176" si="57">+G167*H167</f>
        <v>371096.28750000003</v>
      </c>
      <c r="J167" s="455"/>
      <c r="K167" s="454"/>
      <c r="L167" s="454"/>
      <c r="M167" s="454"/>
      <c r="N167" s="454"/>
      <c r="O167" s="548"/>
      <c r="P167" s="1347">
        <v>382157367</v>
      </c>
      <c r="Q167" s="359">
        <f t="shared" ref="Q167:Q176" si="58">+S167/P167</f>
        <v>3.3719865460555151E-2</v>
      </c>
      <c r="R167" s="620">
        <f t="shared" ref="R167:R176" si="59">+F167+I167</f>
        <v>611746747.6008333</v>
      </c>
      <c r="S167" s="573">
        <v>12886295</v>
      </c>
      <c r="T167" s="360">
        <f t="shared" ref="T167:T176" si="60">+S167/R167</f>
        <v>2.1064754411098806E-2</v>
      </c>
      <c r="X167" s="11"/>
      <c r="AB167" s="297" t="s">
        <v>121</v>
      </c>
      <c r="AC167" s="446"/>
      <c r="AD167" s="288">
        <v>1429</v>
      </c>
      <c r="AE167" s="288">
        <v>1518</v>
      </c>
      <c r="AF167" s="288">
        <v>1616</v>
      </c>
      <c r="AG167" s="288">
        <v>1663</v>
      </c>
      <c r="AH167" s="376">
        <v>1703</v>
      </c>
      <c r="AI167" s="177">
        <v>1724</v>
      </c>
      <c r="AJ167" s="437">
        <v>2366.6</v>
      </c>
      <c r="AK167" s="437">
        <v>2198.91</v>
      </c>
      <c r="AL167" s="288">
        <v>2446.2600000000002</v>
      </c>
      <c r="AM167" s="288">
        <v>2696.88</v>
      </c>
      <c r="AN167" s="110">
        <v>3191.02</v>
      </c>
    </row>
    <row r="168" spans="1:40" x14ac:dyDescent="0.25">
      <c r="A168" s="13"/>
      <c r="B168" s="319">
        <v>2022</v>
      </c>
      <c r="C168" s="581"/>
      <c r="D168" s="1279">
        <v>216581</v>
      </c>
      <c r="E168" s="589">
        <f>+$AL$176</f>
        <v>2341.2400000000002</v>
      </c>
      <c r="F168" s="607">
        <f t="shared" si="56"/>
        <v>507068100.44000006</v>
      </c>
      <c r="G168" s="956">
        <v>13606</v>
      </c>
      <c r="H168" s="879">
        <f>+$AL$196</f>
        <v>28.558333333333337</v>
      </c>
      <c r="I168" s="562">
        <f t="shared" si="57"/>
        <v>388564.68333333341</v>
      </c>
      <c r="J168" s="455"/>
      <c r="K168" s="454"/>
      <c r="L168" s="454"/>
      <c r="M168" s="454"/>
      <c r="N168" s="454"/>
      <c r="O168" s="548"/>
      <c r="P168" s="458">
        <v>303428755</v>
      </c>
      <c r="Q168" s="359">
        <f t="shared" si="58"/>
        <v>3.2090399606326037E-2</v>
      </c>
      <c r="R168" s="620">
        <f t="shared" si="59"/>
        <v>507456665.12333339</v>
      </c>
      <c r="S168" s="523">
        <v>9737150</v>
      </c>
      <c r="T168" s="360">
        <f t="shared" si="60"/>
        <v>1.918814091767513E-2</v>
      </c>
      <c r="X168" s="11"/>
      <c r="AB168" s="297" t="s">
        <v>122</v>
      </c>
      <c r="AC168" s="446"/>
      <c r="AD168" s="288">
        <v>1429</v>
      </c>
      <c r="AE168" s="288">
        <v>1433</v>
      </c>
      <c r="AF168" s="288">
        <v>1663</v>
      </c>
      <c r="AG168" s="288">
        <v>1663</v>
      </c>
      <c r="AH168" s="376">
        <v>1690</v>
      </c>
      <c r="AI168" s="177">
        <v>1711</v>
      </c>
      <c r="AJ168" s="437">
        <v>2396.02</v>
      </c>
      <c r="AK168" s="437">
        <v>2247.3000000000002</v>
      </c>
      <c r="AL168" s="288">
        <v>2381.48</v>
      </c>
      <c r="AM168" s="288">
        <v>2691.84</v>
      </c>
      <c r="AN168" s="110">
        <v>3215.52</v>
      </c>
    </row>
    <row r="169" spans="1:40" x14ac:dyDescent="0.25">
      <c r="A169" s="13"/>
      <c r="B169" s="76">
        <v>2021</v>
      </c>
      <c r="C169" s="859"/>
      <c r="D169" s="1280">
        <v>246908</v>
      </c>
      <c r="E169" s="644">
        <f>+$AK$176</f>
        <v>2256.1483333333331</v>
      </c>
      <c r="F169" s="593">
        <f t="shared" si="56"/>
        <v>557061072.68666661</v>
      </c>
      <c r="G169" s="597">
        <v>12110</v>
      </c>
      <c r="H169" s="602">
        <f>+$AK$196</f>
        <v>32.092500000000001</v>
      </c>
      <c r="I169" s="563">
        <f t="shared" si="57"/>
        <v>388640.17499999999</v>
      </c>
      <c r="J169" s="861"/>
      <c r="K169" s="621"/>
      <c r="L169" s="621"/>
      <c r="M169" s="621"/>
      <c r="N169" s="621"/>
      <c r="O169" s="628"/>
      <c r="P169" s="629">
        <v>351847640</v>
      </c>
      <c r="Q169" s="359">
        <f t="shared" si="58"/>
        <v>3.3178014210923798E-2</v>
      </c>
      <c r="R169" s="620">
        <f t="shared" si="59"/>
        <v>557449712.86166656</v>
      </c>
      <c r="S169" s="663">
        <v>11673606</v>
      </c>
      <c r="T169" s="360">
        <f t="shared" si="60"/>
        <v>2.0941092497964661E-2</v>
      </c>
      <c r="X169" s="11"/>
      <c r="AB169" s="297" t="s">
        <v>123</v>
      </c>
      <c r="AC169" s="446"/>
      <c r="AD169" s="288">
        <v>1369</v>
      </c>
      <c r="AE169" s="288">
        <v>1457</v>
      </c>
      <c r="AF169" s="288">
        <v>1631</v>
      </c>
      <c r="AG169" s="288">
        <v>1728</v>
      </c>
      <c r="AH169" s="376">
        <v>1676</v>
      </c>
      <c r="AI169" s="177">
        <v>1780</v>
      </c>
      <c r="AJ169" s="437">
        <v>2345.35</v>
      </c>
      <c r="AK169" s="437">
        <v>2243.83</v>
      </c>
      <c r="AL169" s="288">
        <v>2342.36</v>
      </c>
      <c r="AM169" s="288">
        <v>2582.4699999999998</v>
      </c>
      <c r="AN169" s="110">
        <v>3188.22</v>
      </c>
    </row>
    <row r="170" spans="1:40" x14ac:dyDescent="0.25">
      <c r="A170" s="105" t="s">
        <v>172</v>
      </c>
      <c r="B170" s="76">
        <v>2020</v>
      </c>
      <c r="C170" s="581"/>
      <c r="D170" s="1282">
        <v>207993</v>
      </c>
      <c r="E170" s="636">
        <f>+$AJ$176</f>
        <v>2372.0100000000002</v>
      </c>
      <c r="F170" s="593">
        <f t="shared" si="56"/>
        <v>493361475.93000007</v>
      </c>
      <c r="G170" s="598">
        <v>13155</v>
      </c>
      <c r="H170" s="603">
        <f>+AJ$196</f>
        <v>25.967500000000001</v>
      </c>
      <c r="I170" s="563">
        <f t="shared" si="57"/>
        <v>341602.46250000002</v>
      </c>
      <c r="J170" s="111"/>
      <c r="K170" s="112"/>
      <c r="L170" s="112"/>
      <c r="M170" s="112"/>
      <c r="N170" s="112"/>
      <c r="O170" s="456"/>
      <c r="P170" s="463">
        <v>297997071</v>
      </c>
      <c r="Q170" s="359">
        <f t="shared" si="58"/>
        <v>3.1946095872868494E-2</v>
      </c>
      <c r="R170" s="620">
        <f t="shared" si="59"/>
        <v>493703078.39250004</v>
      </c>
      <c r="S170" s="1436">
        <v>9519843</v>
      </c>
      <c r="T170" s="360">
        <f t="shared" si="60"/>
        <v>1.9282527123380841E-2</v>
      </c>
      <c r="X170" s="11"/>
      <c r="AB170" s="297" t="s">
        <v>124</v>
      </c>
      <c r="AC170" s="446"/>
      <c r="AD170" s="288">
        <v>1404</v>
      </c>
      <c r="AE170" s="288">
        <v>1479</v>
      </c>
      <c r="AF170" s="288">
        <v>1791</v>
      </c>
      <c r="AG170" s="288">
        <v>1611</v>
      </c>
      <c r="AH170" s="376">
        <v>1645</v>
      </c>
      <c r="AI170" s="177">
        <v>1853</v>
      </c>
      <c r="AJ170" s="437">
        <v>2491.36</v>
      </c>
      <c r="AK170" s="437">
        <v>2268.4499999999998</v>
      </c>
      <c r="AL170" s="288">
        <v>2242.09</v>
      </c>
      <c r="AM170" s="288">
        <v>2578.15</v>
      </c>
      <c r="AN170" s="110">
        <v>3289.38</v>
      </c>
    </row>
    <row r="171" spans="1:40" x14ac:dyDescent="0.25">
      <c r="A171" s="13"/>
      <c r="B171" s="76">
        <v>2019</v>
      </c>
      <c r="C171" s="631"/>
      <c r="D171" s="1283">
        <v>344993</v>
      </c>
      <c r="E171" s="651">
        <f>+$AI$176</f>
        <v>1840.5</v>
      </c>
      <c r="F171" s="593">
        <f t="shared" ref="F171:F176" si="61">+D171*E171</f>
        <v>634959616.5</v>
      </c>
      <c r="G171" s="599">
        <v>16751</v>
      </c>
      <c r="H171" s="559">
        <f>+AI$196</f>
        <v>21.444166666666664</v>
      </c>
      <c r="I171" s="563">
        <f t="shared" si="57"/>
        <v>359211.23583333328</v>
      </c>
      <c r="J171" s="551"/>
      <c r="K171" s="10"/>
      <c r="L171" s="10"/>
      <c r="M171" s="10"/>
      <c r="N171" s="10"/>
      <c r="O171" s="56"/>
      <c r="P171" s="235">
        <v>367281151</v>
      </c>
      <c r="Q171" s="91">
        <f t="shared" si="58"/>
        <v>3.3465496300407752E-2</v>
      </c>
      <c r="R171" s="460">
        <f t="shared" si="59"/>
        <v>635318827.73583329</v>
      </c>
      <c r="S171" s="235">
        <v>12291246</v>
      </c>
      <c r="T171" s="575">
        <f t="shared" si="60"/>
        <v>1.9346579171600944E-2</v>
      </c>
      <c r="X171" s="11"/>
      <c r="AB171" s="297" t="s">
        <v>125</v>
      </c>
      <c r="AC171" s="446"/>
      <c r="AD171" s="288">
        <v>1438</v>
      </c>
      <c r="AE171" s="288">
        <v>1432</v>
      </c>
      <c r="AF171" s="288">
        <v>1757</v>
      </c>
      <c r="AG171" s="288">
        <v>1589</v>
      </c>
      <c r="AH171" s="376">
        <v>1579</v>
      </c>
      <c r="AI171" s="177">
        <v>1873</v>
      </c>
      <c r="AJ171" s="437">
        <v>2605.09</v>
      </c>
      <c r="AK171" s="437">
        <v>2250.16</v>
      </c>
      <c r="AL171" s="288">
        <v>2278.52</v>
      </c>
      <c r="AM171" s="288">
        <v>2587.02</v>
      </c>
      <c r="AN171" s="110">
        <v>3372.16</v>
      </c>
    </row>
    <row r="172" spans="1:40" x14ac:dyDescent="0.25">
      <c r="A172" s="13"/>
      <c r="B172" s="76">
        <v>2018</v>
      </c>
      <c r="C172" s="580"/>
      <c r="D172" s="1281">
        <v>339411</v>
      </c>
      <c r="E172" s="679">
        <f>+$AH$176</f>
        <v>1640.75</v>
      </c>
      <c r="F172" s="607">
        <f t="shared" si="61"/>
        <v>556888598.25</v>
      </c>
      <c r="G172" s="638">
        <v>13980</v>
      </c>
      <c r="H172" s="559">
        <f>+$AH$196</f>
        <v>20.309166666666666</v>
      </c>
      <c r="I172" s="562">
        <f t="shared" si="57"/>
        <v>283922.14999999997</v>
      </c>
      <c r="J172" s="570"/>
      <c r="K172" s="328"/>
      <c r="L172" s="328"/>
      <c r="M172" s="328"/>
      <c r="N172" s="328"/>
      <c r="O172" s="68"/>
      <c r="P172" s="220">
        <v>304089401</v>
      </c>
      <c r="Q172" s="359">
        <f t="shared" si="58"/>
        <v>3.2107584045653732E-2</v>
      </c>
      <c r="R172" s="264">
        <f t="shared" si="59"/>
        <v>557172520.39999998</v>
      </c>
      <c r="S172" s="220">
        <v>9763576</v>
      </c>
      <c r="T172" s="630">
        <f t="shared" si="60"/>
        <v>1.7523434201296623E-2</v>
      </c>
      <c r="X172" s="11"/>
      <c r="AB172" s="297" t="s">
        <v>126</v>
      </c>
      <c r="AC172" s="446"/>
      <c r="AD172" s="288">
        <v>1381</v>
      </c>
      <c r="AE172" s="288">
        <v>1488</v>
      </c>
      <c r="AF172" s="288">
        <v>1720</v>
      </c>
      <c r="AG172" s="288">
        <v>1653</v>
      </c>
      <c r="AH172" s="376">
        <v>1566</v>
      </c>
      <c r="AI172" s="177">
        <v>2025</v>
      </c>
      <c r="AJ172" s="437">
        <v>2544.17</v>
      </c>
      <c r="AK172" s="437">
        <v>2252.0500000000002</v>
      </c>
      <c r="AL172" s="288">
        <v>2238.85</v>
      </c>
      <c r="AM172" s="288">
        <v>2595.66</v>
      </c>
      <c r="AN172" s="110">
        <v>3482.12</v>
      </c>
    </row>
    <row r="173" spans="1:40" x14ac:dyDescent="0.25">
      <c r="A173" s="13"/>
      <c r="B173" s="76">
        <v>2017</v>
      </c>
      <c r="C173" s="80"/>
      <c r="D173" s="1282">
        <v>298386</v>
      </c>
      <c r="E173" s="680">
        <f>+$AG$176</f>
        <v>1628.9166666666667</v>
      </c>
      <c r="F173" s="594">
        <f t="shared" si="61"/>
        <v>486045928.5</v>
      </c>
      <c r="G173" s="598">
        <v>15640</v>
      </c>
      <c r="H173" s="560">
        <f>+$AG$196</f>
        <v>22.250833333333333</v>
      </c>
      <c r="I173" s="604">
        <f t="shared" si="57"/>
        <v>348003.03333333333</v>
      </c>
      <c r="J173" s="862"/>
      <c r="K173" s="47"/>
      <c r="L173" s="47"/>
      <c r="M173" s="47"/>
      <c r="N173" s="47"/>
      <c r="O173" s="55"/>
      <c r="P173" s="220">
        <v>270692605</v>
      </c>
      <c r="Q173" s="359">
        <f t="shared" si="58"/>
        <v>3.1931806929117991E-2</v>
      </c>
      <c r="R173" s="255">
        <f t="shared" si="59"/>
        <v>486393931.53333336</v>
      </c>
      <c r="S173" s="218">
        <v>8643704</v>
      </c>
      <c r="T173" s="360">
        <f t="shared" si="60"/>
        <v>1.7770994742370944E-2</v>
      </c>
      <c r="X173" s="11"/>
      <c r="AB173" s="297" t="s">
        <v>127</v>
      </c>
      <c r="AC173" s="446"/>
      <c r="AD173" s="288">
        <v>1358</v>
      </c>
      <c r="AE173" s="288">
        <v>1496</v>
      </c>
      <c r="AF173" s="288">
        <v>1667</v>
      </c>
      <c r="AG173" s="288">
        <v>1600</v>
      </c>
      <c r="AH173" s="376">
        <v>1558</v>
      </c>
      <c r="AI173" s="177">
        <v>2010</v>
      </c>
      <c r="AJ173" s="437">
        <v>2511.15</v>
      </c>
      <c r="AK173" s="437">
        <v>2209.84</v>
      </c>
      <c r="AL173" s="288">
        <v>2280.39</v>
      </c>
      <c r="AM173" s="288">
        <v>2626.92</v>
      </c>
      <c r="AN173" s="110">
        <v>3693.41</v>
      </c>
    </row>
    <row r="174" spans="1:40" x14ac:dyDescent="0.25">
      <c r="A174" s="33" t="s">
        <v>18</v>
      </c>
      <c r="B174" s="76">
        <v>2016</v>
      </c>
      <c r="C174" s="76"/>
      <c r="D174" s="1283">
        <v>277589</v>
      </c>
      <c r="E174" s="555">
        <f>+$AF$176</f>
        <v>1667.6666666666667</v>
      </c>
      <c r="F174" s="593">
        <f t="shared" si="61"/>
        <v>462925922.33333337</v>
      </c>
      <c r="G174" s="599">
        <v>14927</v>
      </c>
      <c r="H174" s="560">
        <f>+$AF$196</f>
        <v>22.529166666666669</v>
      </c>
      <c r="I174" s="563">
        <f t="shared" si="57"/>
        <v>336292.87083333335</v>
      </c>
      <c r="J174" s="551"/>
      <c r="K174" s="10"/>
      <c r="L174" s="10"/>
      <c r="M174" s="10"/>
      <c r="N174" s="10"/>
      <c r="O174" s="56"/>
      <c r="P174" s="212">
        <v>253004629</v>
      </c>
      <c r="Q174" s="91">
        <f t="shared" si="58"/>
        <v>3.0514006919612525E-2</v>
      </c>
      <c r="R174" s="256">
        <f t="shared" si="59"/>
        <v>463262215.20416671</v>
      </c>
      <c r="S174" s="212">
        <v>7720185</v>
      </c>
      <c r="T174" s="575">
        <f t="shared" si="60"/>
        <v>1.6664827707991676E-2</v>
      </c>
      <c r="AB174" s="297" t="s">
        <v>128</v>
      </c>
      <c r="AC174" s="446"/>
      <c r="AD174" s="288">
        <v>1349</v>
      </c>
      <c r="AE174" s="288">
        <v>1449</v>
      </c>
      <c r="AF174" s="288">
        <v>1722</v>
      </c>
      <c r="AG174" s="288">
        <v>1621</v>
      </c>
      <c r="AH174" s="376">
        <v>1616</v>
      </c>
      <c r="AI174" s="177">
        <v>1983</v>
      </c>
      <c r="AJ174" s="437">
        <v>2441.71</v>
      </c>
      <c r="AK174" s="437">
        <v>2282.84</v>
      </c>
      <c r="AL174" s="288">
        <v>2321.63</v>
      </c>
      <c r="AM174" s="288">
        <v>2721.99</v>
      </c>
      <c r="AN174" s="110">
        <v>3703.45</v>
      </c>
    </row>
    <row r="175" spans="1:40" ht="15.75" thickBot="1" x14ac:dyDescent="0.3">
      <c r="A175" s="105" t="s">
        <v>45</v>
      </c>
      <c r="B175" s="76">
        <v>2015</v>
      </c>
      <c r="C175" s="76"/>
      <c r="D175" s="1283">
        <v>231000</v>
      </c>
      <c r="E175" s="555">
        <f>+$AE$176</f>
        <v>1474.75</v>
      </c>
      <c r="F175" s="593">
        <f t="shared" si="61"/>
        <v>340667250</v>
      </c>
      <c r="G175" s="860"/>
      <c r="H175" s="560">
        <f>+$AE$196</f>
        <v>19.943333333333332</v>
      </c>
      <c r="I175" s="563">
        <f t="shared" si="57"/>
        <v>0</v>
      </c>
      <c r="J175" s="551"/>
      <c r="K175" s="10"/>
      <c r="L175" s="10"/>
      <c r="M175" s="10"/>
      <c r="N175" s="10"/>
      <c r="O175" s="56"/>
      <c r="P175" s="212">
        <v>261349772</v>
      </c>
      <c r="Q175" s="91">
        <f t="shared" si="58"/>
        <v>3.0816904634605919E-2</v>
      </c>
      <c r="R175" s="256">
        <f t="shared" si="59"/>
        <v>340667250</v>
      </c>
      <c r="S175" s="212">
        <v>8053991</v>
      </c>
      <c r="T175" s="575">
        <f t="shared" si="60"/>
        <v>2.3641811767934839E-2</v>
      </c>
      <c r="AB175" s="298" t="s">
        <v>129</v>
      </c>
      <c r="AC175" s="447"/>
      <c r="AD175" s="387">
        <v>1361</v>
      </c>
      <c r="AE175" s="387">
        <v>1451</v>
      </c>
      <c r="AF175" s="387">
        <v>1572</v>
      </c>
      <c r="AG175" s="387">
        <v>1621</v>
      </c>
      <c r="AH175" s="448">
        <v>1656</v>
      </c>
      <c r="AI175" s="180">
        <v>1946</v>
      </c>
      <c r="AJ175" s="438">
        <v>2381.1799999999998</v>
      </c>
      <c r="AK175" s="438">
        <v>2289.84</v>
      </c>
      <c r="AL175" s="289">
        <v>2444.37</v>
      </c>
      <c r="AM175" s="289">
        <v>2729.57</v>
      </c>
      <c r="AN175" s="1100"/>
    </row>
    <row r="176" spans="1:40" ht="15.75" thickBot="1" x14ac:dyDescent="0.3">
      <c r="A176" s="151" t="s">
        <v>50</v>
      </c>
      <c r="B176" s="77">
        <v>2014</v>
      </c>
      <c r="C176" s="77"/>
      <c r="D176" s="1345">
        <v>15881</v>
      </c>
      <c r="E176" s="556">
        <f>+$AD$176</f>
        <v>1392.9166666666667</v>
      </c>
      <c r="F176" s="595">
        <f t="shared" si="61"/>
        <v>22120909.583333336</v>
      </c>
      <c r="G176" s="810"/>
      <c r="H176" s="561">
        <f>+$AD$196</f>
        <v>20.659166666666664</v>
      </c>
      <c r="I176" s="564">
        <f t="shared" si="57"/>
        <v>0</v>
      </c>
      <c r="J176" s="552"/>
      <c r="K176" s="25"/>
      <c r="L176" s="25"/>
      <c r="M176" s="25"/>
      <c r="N176" s="25"/>
      <c r="O176" s="57"/>
      <c r="P176" s="213">
        <v>2123371</v>
      </c>
      <c r="Q176" s="576">
        <f t="shared" si="58"/>
        <v>1.0000136575285243E-2</v>
      </c>
      <c r="R176" s="257">
        <f t="shared" si="59"/>
        <v>22120909.583333336</v>
      </c>
      <c r="S176" s="213">
        <v>21234</v>
      </c>
      <c r="T176" s="576">
        <f t="shared" si="60"/>
        <v>9.5990627871823302E-4</v>
      </c>
      <c r="AB176" s="304" t="s">
        <v>133</v>
      </c>
      <c r="AC176" s="442"/>
      <c r="AD176" s="377">
        <f t="shared" ref="AD176:AM176" si="62">SUM(AD164:AD175)/12</f>
        <v>1392.9166666666667</v>
      </c>
      <c r="AE176" s="377">
        <f t="shared" si="62"/>
        <v>1474.75</v>
      </c>
      <c r="AF176" s="377">
        <f t="shared" si="62"/>
        <v>1667.6666666666667</v>
      </c>
      <c r="AG176" s="377">
        <f t="shared" si="62"/>
        <v>1628.9166666666667</v>
      </c>
      <c r="AH176" s="377">
        <f t="shared" si="62"/>
        <v>1640.75</v>
      </c>
      <c r="AI176" s="377">
        <f t="shared" si="62"/>
        <v>1840.5</v>
      </c>
      <c r="AJ176" s="382">
        <f t="shared" si="62"/>
        <v>2372.0100000000002</v>
      </c>
      <c r="AK176" s="382">
        <f t="shared" si="62"/>
        <v>2256.1483333333331</v>
      </c>
      <c r="AL176" s="379">
        <f t="shared" si="62"/>
        <v>2341.2400000000002</v>
      </c>
      <c r="AM176" s="379">
        <f t="shared" si="62"/>
        <v>2622.3766666666666</v>
      </c>
      <c r="AN176" s="379"/>
    </row>
    <row r="177" spans="1:40" ht="15.75" thickBot="1" x14ac:dyDescent="0.3">
      <c r="P177" s="514">
        <f>SUM(P168:P176)</f>
        <v>2411814395</v>
      </c>
      <c r="R177" s="229"/>
      <c r="S177" s="514">
        <f>SUM(S168:S176)</f>
        <v>77424535</v>
      </c>
    </row>
    <row r="178" spans="1:40" ht="15.75" thickBot="1" x14ac:dyDescent="0.3">
      <c r="A178" s="28"/>
      <c r="B178" s="666"/>
      <c r="C178" s="1076" t="s">
        <v>176</v>
      </c>
      <c r="D178" s="1005" t="s">
        <v>5</v>
      </c>
      <c r="E178" s="1005" t="s">
        <v>1</v>
      </c>
      <c r="F178" s="1005" t="s">
        <v>3</v>
      </c>
      <c r="G178" s="1330" t="s">
        <v>21</v>
      </c>
      <c r="H178" s="1006" t="s">
        <v>175</v>
      </c>
      <c r="I178" s="1174" t="s">
        <v>4</v>
      </c>
      <c r="J178" s="71"/>
      <c r="K178" s="50"/>
      <c r="L178" s="50"/>
      <c r="M178" s="50"/>
      <c r="N178" s="50"/>
      <c r="O178" s="69"/>
      <c r="P178" s="1331" t="s">
        <v>40</v>
      </c>
      <c r="Q178" s="86" t="s">
        <v>41</v>
      </c>
      <c r="R178" s="224" t="s">
        <v>113</v>
      </c>
      <c r="S178" s="224" t="s">
        <v>2</v>
      </c>
      <c r="T178" s="98" t="s">
        <v>42</v>
      </c>
    </row>
    <row r="179" spans="1:40" x14ac:dyDescent="0.25">
      <c r="A179" s="29"/>
      <c r="B179" s="531">
        <v>2023</v>
      </c>
      <c r="C179" s="206"/>
      <c r="D179" s="584">
        <v>52428</v>
      </c>
      <c r="E179" s="589">
        <f>+$AM$176</f>
        <v>2622.3766666666666</v>
      </c>
      <c r="F179" s="607">
        <f t="shared" ref="F179:F182" si="63">+D179*E179</f>
        <v>137485963.88</v>
      </c>
      <c r="G179" s="1329"/>
      <c r="H179" s="659"/>
      <c r="I179" s="1209"/>
      <c r="J179" s="455"/>
      <c r="K179" s="454"/>
      <c r="L179" s="454"/>
      <c r="M179" s="454"/>
      <c r="N179" s="454"/>
      <c r="O179" s="548"/>
      <c r="P179" s="458">
        <v>96966378</v>
      </c>
      <c r="Q179" s="359">
        <f t="shared" ref="Q179:Q188" si="64">+S179/P179</f>
        <v>2.5782080877559437E-2</v>
      </c>
      <c r="R179" s="264">
        <f t="shared" ref="R179:R188" si="65">+F179+I179</f>
        <v>137485963.88</v>
      </c>
      <c r="S179" s="1325">
        <v>2499995</v>
      </c>
      <c r="T179" s="360">
        <f t="shared" ref="T179:T188" si="66">+S179/R179</f>
        <v>1.8183638019820238E-2</v>
      </c>
    </row>
    <row r="180" spans="1:40" x14ac:dyDescent="0.25">
      <c r="A180" s="29"/>
      <c r="B180" s="531">
        <v>2022</v>
      </c>
      <c r="C180" s="580"/>
      <c r="D180" s="633">
        <v>94897</v>
      </c>
      <c r="E180" s="589">
        <f>+$AL$176</f>
        <v>2341.2400000000002</v>
      </c>
      <c r="F180" s="607">
        <f t="shared" si="63"/>
        <v>222176652.28000003</v>
      </c>
      <c r="G180" s="659"/>
      <c r="H180" s="659"/>
      <c r="I180" s="659"/>
      <c r="J180" s="455"/>
      <c r="K180" s="454"/>
      <c r="L180" s="454"/>
      <c r="M180" s="454"/>
      <c r="N180" s="454"/>
      <c r="O180" s="548"/>
      <c r="P180" s="458">
        <v>171910292</v>
      </c>
      <c r="Q180" s="359">
        <f t="shared" si="64"/>
        <v>2.9828132686785268E-2</v>
      </c>
      <c r="R180" s="264">
        <f t="shared" si="65"/>
        <v>222176652.28000003</v>
      </c>
      <c r="S180" s="1325">
        <v>5127763</v>
      </c>
      <c r="T180" s="360">
        <f t="shared" si="66"/>
        <v>2.3079666325774378E-2</v>
      </c>
    </row>
    <row r="181" spans="1:40" x14ac:dyDescent="0.25">
      <c r="A181" s="29"/>
      <c r="B181" s="209">
        <v>2021</v>
      </c>
      <c r="C181" s="631"/>
      <c r="D181" s="587">
        <v>107174</v>
      </c>
      <c r="E181" s="589">
        <f>+$AK$176</f>
        <v>2256.1483333333331</v>
      </c>
      <c r="F181" s="607">
        <f t="shared" si="63"/>
        <v>241800441.47666663</v>
      </c>
      <c r="G181" s="643"/>
      <c r="H181" s="643"/>
      <c r="I181" s="643"/>
      <c r="J181" s="26"/>
      <c r="K181" s="110"/>
      <c r="L181" s="110"/>
      <c r="M181" s="110"/>
      <c r="N181" s="110"/>
      <c r="O181" s="170"/>
      <c r="P181" s="212">
        <v>195239737</v>
      </c>
      <c r="Q181" s="359">
        <f t="shared" si="64"/>
        <v>3.0312102909665361E-2</v>
      </c>
      <c r="R181" s="264">
        <f t="shared" si="65"/>
        <v>241800441.47666663</v>
      </c>
      <c r="S181" s="212">
        <v>5918127</v>
      </c>
      <c r="T181" s="360">
        <f t="shared" si="66"/>
        <v>2.4475253080011809E-2</v>
      </c>
      <c r="W181" s="14"/>
      <c r="AD181" s="14"/>
      <c r="AE181" s="14"/>
      <c r="AF181" s="14"/>
      <c r="AG181" s="14"/>
      <c r="AH181" s="14"/>
    </row>
    <row r="182" spans="1:40" ht="15.75" thickBot="1" x14ac:dyDescent="0.3">
      <c r="A182" s="29"/>
      <c r="B182" s="531">
        <v>2020</v>
      </c>
      <c r="C182" s="581"/>
      <c r="D182" s="633">
        <v>87529</v>
      </c>
      <c r="E182" s="636">
        <f>+$AJ$176</f>
        <v>2372.0100000000002</v>
      </c>
      <c r="F182" s="607">
        <f t="shared" si="63"/>
        <v>207619663.29000002</v>
      </c>
      <c r="G182" s="638"/>
      <c r="H182" s="603"/>
      <c r="I182" s="562"/>
      <c r="J182" s="455"/>
      <c r="K182" s="454"/>
      <c r="L182" s="454"/>
      <c r="M182" s="454"/>
      <c r="N182" s="454"/>
      <c r="O182" s="548"/>
      <c r="P182" s="458">
        <v>177286917</v>
      </c>
      <c r="Q182" s="359">
        <f t="shared" si="64"/>
        <v>2.9239709775087351E-2</v>
      </c>
      <c r="R182" s="264">
        <f t="shared" si="65"/>
        <v>207619663.29000002</v>
      </c>
      <c r="S182" s="523">
        <v>5183818</v>
      </c>
      <c r="T182" s="360">
        <f t="shared" si="66"/>
        <v>2.4967856694571945E-2</v>
      </c>
      <c r="AA182" s="389" t="s">
        <v>160</v>
      </c>
      <c r="AB182" s="305" t="s">
        <v>157</v>
      </c>
      <c r="AC182" s="1477" t="s">
        <v>140</v>
      </c>
      <c r="AD182" s="307"/>
      <c r="AE182" s="307"/>
      <c r="AF182" s="307"/>
      <c r="AG182" s="307" t="s">
        <v>211</v>
      </c>
      <c r="AH182" s="307"/>
    </row>
    <row r="183" spans="1:40" ht="15.75" thickBot="1" x14ac:dyDescent="0.3">
      <c r="A183" s="29"/>
      <c r="B183" s="531">
        <v>2019</v>
      </c>
      <c r="C183" s="631"/>
      <c r="D183" s="633">
        <v>137436</v>
      </c>
      <c r="E183" s="590">
        <f>+$AI$176</f>
        <v>1840.5</v>
      </c>
      <c r="F183" s="607">
        <f t="shared" ref="F183:F188" si="67">+D183*E183</f>
        <v>252950958</v>
      </c>
      <c r="G183" s="599"/>
      <c r="H183" s="559"/>
      <c r="I183" s="562"/>
      <c r="J183" s="570"/>
      <c r="K183" s="328"/>
      <c r="L183" s="328"/>
      <c r="M183" s="328"/>
      <c r="N183" s="328"/>
      <c r="O183" s="68"/>
      <c r="P183" s="235">
        <v>216758039</v>
      </c>
      <c r="Q183" s="91">
        <f t="shared" si="64"/>
        <v>2.8927748326787548E-2</v>
      </c>
      <c r="R183" s="256">
        <f t="shared" si="65"/>
        <v>252950958</v>
      </c>
      <c r="S183" s="220">
        <v>6270322</v>
      </c>
      <c r="T183" s="360">
        <f t="shared" si="66"/>
        <v>2.4788686508947715E-2</v>
      </c>
      <c r="Y183" s="11"/>
      <c r="AB183" s="75" t="s">
        <v>130</v>
      </c>
      <c r="AC183" s="439"/>
      <c r="AD183" s="435">
        <v>2014</v>
      </c>
      <c r="AE183" s="435">
        <v>2015</v>
      </c>
      <c r="AF183" s="435">
        <v>2016</v>
      </c>
      <c r="AG183" s="435">
        <v>2017</v>
      </c>
      <c r="AH183" s="1106">
        <v>2018</v>
      </c>
      <c r="AI183" s="398">
        <v>2019</v>
      </c>
      <c r="AJ183" s="388">
        <v>2020</v>
      </c>
      <c r="AK183" s="449">
        <v>2021</v>
      </c>
      <c r="AL183" s="388">
        <v>2022</v>
      </c>
      <c r="AM183" s="388">
        <v>2023</v>
      </c>
      <c r="AN183" s="388">
        <v>2024</v>
      </c>
    </row>
    <row r="184" spans="1:40" ht="15.75" thickBot="1" x14ac:dyDescent="0.3">
      <c r="A184" s="29"/>
      <c r="B184" s="531">
        <v>2018</v>
      </c>
      <c r="C184" s="581"/>
      <c r="D184" s="633">
        <v>165207</v>
      </c>
      <c r="E184" s="554">
        <f>+$AH$176</f>
        <v>1640.75</v>
      </c>
      <c r="F184" s="607">
        <f t="shared" si="67"/>
        <v>271063385.25</v>
      </c>
      <c r="G184" s="599"/>
      <c r="H184" s="559"/>
      <c r="I184" s="563"/>
      <c r="J184" s="551"/>
      <c r="K184" s="10"/>
      <c r="L184" s="10"/>
      <c r="M184" s="10"/>
      <c r="N184" s="10"/>
      <c r="O184" s="56"/>
      <c r="P184" s="235">
        <v>239422639</v>
      </c>
      <c r="Q184" s="91">
        <f t="shared" si="64"/>
        <v>2.997588711734148E-2</v>
      </c>
      <c r="R184" s="264">
        <f t="shared" si="65"/>
        <v>271063385.25</v>
      </c>
      <c r="S184" s="220">
        <v>7176906</v>
      </c>
      <c r="T184" s="360">
        <f t="shared" si="66"/>
        <v>2.6476855195255479E-2</v>
      </c>
      <c r="Y184" s="11"/>
      <c r="AB184" s="301" t="s">
        <v>118</v>
      </c>
      <c r="AC184" s="443"/>
      <c r="AD184" s="386">
        <v>22.11</v>
      </c>
      <c r="AE184" s="386">
        <v>21.52</v>
      </c>
      <c r="AF184" s="386">
        <v>19.940000000000001</v>
      </c>
      <c r="AG184" s="386">
        <v>22.78</v>
      </c>
      <c r="AH184" s="444">
        <v>21.07</v>
      </c>
      <c r="AI184" s="445">
        <v>21.21</v>
      </c>
      <c r="AJ184" s="436">
        <v>23.4</v>
      </c>
      <c r="AK184" s="436">
        <v>34.78</v>
      </c>
      <c r="AL184" s="288">
        <v>29.32</v>
      </c>
      <c r="AM184" s="288">
        <v>32.770000000000003</v>
      </c>
      <c r="AN184" s="1478">
        <v>30.8</v>
      </c>
    </row>
    <row r="185" spans="1:40" x14ac:dyDescent="0.25">
      <c r="A185" s="29"/>
      <c r="B185" s="16">
        <v>2017</v>
      </c>
      <c r="C185" s="76"/>
      <c r="D185" s="633">
        <v>114689</v>
      </c>
      <c r="E185" s="555">
        <f>+$AG$176</f>
        <v>1628.9166666666667</v>
      </c>
      <c r="F185" s="607">
        <f t="shared" si="67"/>
        <v>186818823.58333334</v>
      </c>
      <c r="G185" s="599"/>
      <c r="H185" s="560"/>
      <c r="I185" s="563"/>
      <c r="J185" s="551"/>
      <c r="K185" s="10"/>
      <c r="L185" s="10"/>
      <c r="M185" s="10"/>
      <c r="N185" s="10"/>
      <c r="O185" s="56"/>
      <c r="P185" s="235">
        <v>166326380</v>
      </c>
      <c r="Q185" s="91">
        <f t="shared" si="64"/>
        <v>2.8958004136204973E-2</v>
      </c>
      <c r="R185" s="255">
        <f t="shared" si="65"/>
        <v>186818823.58333334</v>
      </c>
      <c r="S185" s="220">
        <v>4816480</v>
      </c>
      <c r="T185" s="360">
        <f t="shared" si="66"/>
        <v>2.5781556203042552E-2</v>
      </c>
      <c r="U185" s="14"/>
      <c r="Y185" s="11"/>
      <c r="AB185" s="300" t="s">
        <v>119</v>
      </c>
      <c r="AC185" s="446"/>
      <c r="AD185" s="288">
        <v>23.18</v>
      </c>
      <c r="AE185" s="288">
        <v>20.260000000000002</v>
      </c>
      <c r="AF185" s="288">
        <v>19.97</v>
      </c>
      <c r="AG185" s="288">
        <v>23.72</v>
      </c>
      <c r="AH185" s="376">
        <v>20.93</v>
      </c>
      <c r="AI185" s="177">
        <v>20.82</v>
      </c>
      <c r="AJ185" s="437">
        <v>23.5</v>
      </c>
      <c r="AK185" s="437">
        <v>37.42</v>
      </c>
      <c r="AL185" s="288">
        <v>29.5</v>
      </c>
      <c r="AM185" s="288">
        <v>29.72</v>
      </c>
      <c r="AN185" s="110">
        <v>30.61</v>
      </c>
    </row>
    <row r="186" spans="1:40" x14ac:dyDescent="0.25">
      <c r="A186" s="29"/>
      <c r="B186" s="209">
        <v>2016</v>
      </c>
      <c r="C186" s="76"/>
      <c r="D186" s="634">
        <v>142735</v>
      </c>
      <c r="E186" s="555">
        <f>+$AF$176</f>
        <v>1667.6666666666667</v>
      </c>
      <c r="F186" s="593">
        <f t="shared" si="67"/>
        <v>238034401.66666669</v>
      </c>
      <c r="G186" s="599"/>
      <c r="H186" s="560"/>
      <c r="I186" s="563"/>
      <c r="J186" s="551"/>
      <c r="K186" s="10"/>
      <c r="L186" s="10"/>
      <c r="M186" s="10"/>
      <c r="N186" s="10"/>
      <c r="O186" s="56"/>
      <c r="P186" s="235">
        <v>207267622</v>
      </c>
      <c r="Q186" s="91">
        <f t="shared" si="64"/>
        <v>2.8420768005916523E-2</v>
      </c>
      <c r="R186" s="256">
        <f t="shared" si="65"/>
        <v>238034401.66666669</v>
      </c>
      <c r="S186" s="212">
        <v>5890705</v>
      </c>
      <c r="T186" s="575">
        <f t="shared" si="66"/>
        <v>2.4747284252841294E-2</v>
      </c>
      <c r="V186" s="64"/>
      <c r="AB186" s="297" t="s">
        <v>120</v>
      </c>
      <c r="AC186" s="446"/>
      <c r="AD186" s="288">
        <v>21.67</v>
      </c>
      <c r="AE186" s="288">
        <v>20.94</v>
      </c>
      <c r="AF186" s="288">
        <v>20.059999999999999</v>
      </c>
      <c r="AG186" s="288">
        <v>23.75</v>
      </c>
      <c r="AH186" s="376">
        <v>21.37</v>
      </c>
      <c r="AI186" s="177">
        <v>20.57</v>
      </c>
      <c r="AJ186" s="437">
        <v>22.39</v>
      </c>
      <c r="AK186" s="437">
        <v>33.67</v>
      </c>
      <c r="AL186" s="288">
        <v>34.07</v>
      </c>
      <c r="AM186" s="288">
        <v>27.63</v>
      </c>
      <c r="AN186" s="110">
        <v>33.26</v>
      </c>
    </row>
    <row r="187" spans="1:40" x14ac:dyDescent="0.25">
      <c r="A187" s="29"/>
      <c r="B187" s="209">
        <v>2015</v>
      </c>
      <c r="C187" s="76"/>
      <c r="D187" s="587">
        <v>130076</v>
      </c>
      <c r="E187" s="555">
        <f>+$AE$176</f>
        <v>1474.75</v>
      </c>
      <c r="F187" s="593">
        <f t="shared" si="67"/>
        <v>191829581</v>
      </c>
      <c r="G187" s="599">
        <v>28125</v>
      </c>
      <c r="H187" s="560">
        <f>+$AE$196</f>
        <v>19.943333333333332</v>
      </c>
      <c r="I187" s="563">
        <f t="shared" ref="I187" si="68">+G187*H187</f>
        <v>560906.25</v>
      </c>
      <c r="J187" s="551"/>
      <c r="K187" s="10"/>
      <c r="L187" s="10"/>
      <c r="M187" s="10"/>
      <c r="N187" s="10"/>
      <c r="O187" s="56"/>
      <c r="P187" s="235">
        <v>169546081</v>
      </c>
      <c r="Q187" s="91">
        <f t="shared" si="64"/>
        <v>2.5844554908939475E-2</v>
      </c>
      <c r="R187" s="256">
        <f t="shared" si="65"/>
        <v>192390487.25</v>
      </c>
      <c r="S187" s="212">
        <v>4381843</v>
      </c>
      <c r="T187" s="575">
        <f t="shared" si="66"/>
        <v>2.2775777860087519E-2</v>
      </c>
      <c r="AB187" s="297" t="s">
        <v>121</v>
      </c>
      <c r="AC187" s="446"/>
      <c r="AD187" s="288">
        <v>20.89</v>
      </c>
      <c r="AE187" s="288">
        <v>19.91</v>
      </c>
      <c r="AF187" s="288">
        <v>22.09</v>
      </c>
      <c r="AG187" s="288">
        <v>24.09</v>
      </c>
      <c r="AH187" s="376">
        <v>21.72</v>
      </c>
      <c r="AI187" s="177">
        <v>20.16</v>
      </c>
      <c r="AJ187" s="437">
        <v>19.850000000000001</v>
      </c>
      <c r="AK187" s="437">
        <v>31.39</v>
      </c>
      <c r="AL187" s="288">
        <v>30.38</v>
      </c>
      <c r="AM187" s="288">
        <v>33.619999999999997</v>
      </c>
      <c r="AN187" s="110">
        <v>37.630000000000003</v>
      </c>
    </row>
    <row r="188" spans="1:40" ht="15.75" thickBot="1" x14ac:dyDescent="0.3">
      <c r="A188" s="29"/>
      <c r="B188" s="210">
        <v>2014</v>
      </c>
      <c r="C188" s="77"/>
      <c r="D188" s="588">
        <v>128241</v>
      </c>
      <c r="E188" s="556">
        <f>+$AD$176</f>
        <v>1392.9166666666667</v>
      </c>
      <c r="F188" s="595">
        <f t="shared" si="67"/>
        <v>178629026.25</v>
      </c>
      <c r="G188" s="601"/>
      <c r="H188" s="561"/>
      <c r="I188" s="564"/>
      <c r="J188" s="552"/>
      <c r="K188" s="25"/>
      <c r="L188" s="25"/>
      <c r="M188" s="25"/>
      <c r="N188" s="25"/>
      <c r="O188" s="57"/>
      <c r="P188" s="314">
        <v>162166928</v>
      </c>
      <c r="Q188" s="576">
        <f t="shared" si="64"/>
        <v>2.5200434209372208E-2</v>
      </c>
      <c r="R188" s="257">
        <f t="shared" si="65"/>
        <v>178629026.25</v>
      </c>
      <c r="S188" s="213">
        <v>4086677</v>
      </c>
      <c r="T188" s="576">
        <f t="shared" si="66"/>
        <v>2.2878011965874443E-2</v>
      </c>
      <c r="AB188" s="297" t="s">
        <v>122</v>
      </c>
      <c r="AC188" s="446"/>
      <c r="AD188" s="288">
        <v>20.83</v>
      </c>
      <c r="AE188" s="288">
        <v>20.57</v>
      </c>
      <c r="AF188" s="288">
        <v>21.14</v>
      </c>
      <c r="AG188" s="288">
        <v>23.08</v>
      </c>
      <c r="AH188" s="376">
        <v>21.2</v>
      </c>
      <c r="AI188" s="177">
        <v>19.649999999999999</v>
      </c>
      <c r="AJ188" s="437">
        <v>20.95</v>
      </c>
      <c r="AK188" s="437">
        <v>32.51</v>
      </c>
      <c r="AL188" s="288">
        <v>28.99</v>
      </c>
      <c r="AM188" s="288">
        <v>34.270000000000003</v>
      </c>
      <c r="AN188" s="110">
        <v>40.340000000000003</v>
      </c>
    </row>
    <row r="189" spans="1:40" ht="15.75" thickBot="1" x14ac:dyDescent="0.3">
      <c r="A189" s="32" t="s">
        <v>17</v>
      </c>
      <c r="B189" s="14"/>
      <c r="C189" s="14"/>
      <c r="D189" s="14"/>
      <c r="E189" s="14"/>
      <c r="F189" s="14"/>
      <c r="G189" s="14"/>
      <c r="H189" s="14"/>
      <c r="I189" s="14"/>
      <c r="J189" s="14"/>
      <c r="K189" s="14"/>
      <c r="L189" s="14"/>
      <c r="M189" s="14"/>
      <c r="N189" s="14"/>
      <c r="O189" s="14"/>
      <c r="P189" s="514">
        <f>SUM(P180:P188)</f>
        <v>1705924635</v>
      </c>
      <c r="R189" s="229"/>
      <c r="S189" s="514">
        <f>SUM(S180:S188)</f>
        <v>48852641</v>
      </c>
      <c r="T189" s="14"/>
      <c r="AB189" s="297" t="s">
        <v>123</v>
      </c>
      <c r="AC189" s="446"/>
      <c r="AD189" s="288">
        <v>22.44</v>
      </c>
      <c r="AE189" s="288">
        <v>19.739999999999998</v>
      </c>
      <c r="AF189" s="288">
        <v>23.19</v>
      </c>
      <c r="AG189" s="288">
        <v>21.98</v>
      </c>
      <c r="AH189" s="376">
        <v>21.88</v>
      </c>
      <c r="AI189" s="177">
        <v>19.75</v>
      </c>
      <c r="AJ189" s="437">
        <v>24.25</v>
      </c>
      <c r="AK189" s="437">
        <v>33.81</v>
      </c>
      <c r="AL189" s="288">
        <v>27.87</v>
      </c>
      <c r="AM189" s="288">
        <v>31.63</v>
      </c>
      <c r="AN189" s="1478">
        <v>40.6</v>
      </c>
    </row>
    <row r="190" spans="1:40" ht="15.75" thickBot="1" x14ac:dyDescent="0.3">
      <c r="A190" s="104" t="s">
        <v>46</v>
      </c>
      <c r="B190" s="667"/>
      <c r="C190" s="1076" t="s">
        <v>177</v>
      </c>
      <c r="D190" s="1005" t="s">
        <v>5</v>
      </c>
      <c r="E190" s="1005" t="s">
        <v>1</v>
      </c>
      <c r="F190" s="1005" t="s">
        <v>3</v>
      </c>
      <c r="G190" s="1006" t="s">
        <v>21</v>
      </c>
      <c r="H190" s="1006" t="s">
        <v>175</v>
      </c>
      <c r="I190" s="1006" t="s">
        <v>4</v>
      </c>
      <c r="J190" s="1332"/>
      <c r="K190" s="1333"/>
      <c r="L190" s="1333"/>
      <c r="M190" s="1333"/>
      <c r="N190" s="1333"/>
      <c r="O190" s="1334"/>
      <c r="P190" s="1331" t="s">
        <v>40</v>
      </c>
      <c r="Q190" s="1335" t="s">
        <v>41</v>
      </c>
      <c r="R190" s="1336" t="s">
        <v>113</v>
      </c>
      <c r="S190" s="1337" t="s">
        <v>2</v>
      </c>
      <c r="T190" s="1338" t="s">
        <v>42</v>
      </c>
      <c r="AB190" s="297" t="s">
        <v>124</v>
      </c>
      <c r="AC190" s="446"/>
      <c r="AD190" s="288">
        <v>21.83</v>
      </c>
      <c r="AE190" s="288">
        <v>19.350000000000001</v>
      </c>
      <c r="AF190" s="288">
        <v>26.66</v>
      </c>
      <c r="AG190" s="288">
        <v>20.72</v>
      </c>
      <c r="AH190" s="376">
        <v>20.57</v>
      </c>
      <c r="AI190" s="177">
        <v>19.96</v>
      </c>
      <c r="AJ190" s="437">
        <v>24.46</v>
      </c>
      <c r="AK190" s="437">
        <v>32.35</v>
      </c>
      <c r="AL190" s="288">
        <v>25.05</v>
      </c>
      <c r="AM190" s="288">
        <v>30.3</v>
      </c>
      <c r="AN190" s="110">
        <v>40.85</v>
      </c>
    </row>
    <row r="191" spans="1:40" x14ac:dyDescent="0.25">
      <c r="A191" s="104"/>
      <c r="B191" s="668">
        <v>2023</v>
      </c>
      <c r="C191" s="206"/>
      <c r="D191" s="584">
        <v>7143</v>
      </c>
      <c r="E191" s="589">
        <f>+$AM$176</f>
        <v>2622.3766666666666</v>
      </c>
      <c r="F191" s="607">
        <f>+D191*E191</f>
        <v>18731636.529999997</v>
      </c>
      <c r="G191" s="659"/>
      <c r="H191" s="659"/>
      <c r="I191" s="659"/>
      <c r="J191" s="851"/>
      <c r="K191" s="852"/>
      <c r="L191" s="852"/>
      <c r="M191" s="852"/>
      <c r="N191" s="852"/>
      <c r="O191" s="853"/>
      <c r="P191" s="458">
        <v>13211320</v>
      </c>
      <c r="Q191" s="359">
        <f>+S191/P191</f>
        <v>2.5782056599946108E-2</v>
      </c>
      <c r="R191" s="264">
        <f>+F191+I191</f>
        <v>18731636.529999997</v>
      </c>
      <c r="S191" s="1325">
        <v>340615</v>
      </c>
      <c r="T191" s="97">
        <f>+S191/R191</f>
        <v>1.8183942414987702E-2</v>
      </c>
      <c r="AB191" s="297" t="s">
        <v>125</v>
      </c>
      <c r="AC191" s="446"/>
      <c r="AD191" s="288">
        <v>20.87</v>
      </c>
      <c r="AE191" s="288">
        <v>19.350000000000001</v>
      </c>
      <c r="AF191" s="288">
        <v>24.26</v>
      </c>
      <c r="AG191" s="288">
        <v>21.39</v>
      </c>
      <c r="AH191" s="376">
        <v>19.3</v>
      </c>
      <c r="AI191" s="177">
        <v>21.47</v>
      </c>
      <c r="AJ191" s="437">
        <v>32.53</v>
      </c>
      <c r="AK191" s="437">
        <v>31.91</v>
      </c>
      <c r="AL191" s="288">
        <v>26.46</v>
      </c>
      <c r="AM191" s="288">
        <v>30.57</v>
      </c>
      <c r="AN191" s="1478">
        <v>39</v>
      </c>
    </row>
    <row r="192" spans="1:40" ht="15.75" thickBot="1" x14ac:dyDescent="0.3">
      <c r="A192" s="104"/>
      <c r="B192" s="668">
        <v>2022</v>
      </c>
      <c r="C192" s="580"/>
      <c r="D192" s="584">
        <v>504</v>
      </c>
      <c r="E192" s="589">
        <f>+$AL$176</f>
        <v>2341.2400000000002</v>
      </c>
      <c r="F192" s="607">
        <f>+D192*E192</f>
        <v>1179984.9600000002</v>
      </c>
      <c r="G192" s="659"/>
      <c r="H192" s="658"/>
      <c r="I192" s="659"/>
      <c r="J192" s="851"/>
      <c r="K192" s="852"/>
      <c r="L192" s="852"/>
      <c r="M192" s="852"/>
      <c r="N192" s="852"/>
      <c r="O192" s="853"/>
      <c r="P192" s="458">
        <v>913624</v>
      </c>
      <c r="Q192" s="359">
        <f>+S192/P192</f>
        <v>2.9828463350349815E-2</v>
      </c>
      <c r="R192" s="264">
        <f>+F192+I192</f>
        <v>1179984.9600000002</v>
      </c>
      <c r="S192" s="1325">
        <v>27252</v>
      </c>
      <c r="T192" s="97">
        <f>+S192/R192</f>
        <v>2.3095209620298887E-2</v>
      </c>
      <c r="AB192" s="297" t="s">
        <v>126</v>
      </c>
      <c r="AC192" s="446"/>
      <c r="AD192" s="288">
        <v>19.34</v>
      </c>
      <c r="AE192" s="288">
        <v>19.27</v>
      </c>
      <c r="AF192" s="288">
        <v>25.92</v>
      </c>
      <c r="AG192" s="288">
        <v>21.14</v>
      </c>
      <c r="AH192" s="376">
        <v>18.329999999999998</v>
      </c>
      <c r="AI192" s="177">
        <v>24.61</v>
      </c>
      <c r="AJ192" s="437">
        <v>35.49</v>
      </c>
      <c r="AK192" s="437">
        <v>30.48</v>
      </c>
      <c r="AL192" s="288">
        <v>23.68</v>
      </c>
      <c r="AM192" s="288">
        <v>32.130000000000003</v>
      </c>
      <c r="AN192" s="110">
        <v>40.69</v>
      </c>
    </row>
    <row r="193" spans="1:40" ht="15.75" thickBot="1" x14ac:dyDescent="0.3">
      <c r="A193" s="104"/>
      <c r="B193" s="668">
        <v>2021</v>
      </c>
      <c r="C193" s="580"/>
      <c r="D193" s="584">
        <v>17233</v>
      </c>
      <c r="E193" s="589">
        <f>+$AK$176</f>
        <v>2256.1483333333331</v>
      </c>
      <c r="F193" s="607">
        <f>+D193*E193</f>
        <v>38880204.228333332</v>
      </c>
      <c r="G193" s="608"/>
      <c r="H193" s="608"/>
      <c r="I193" s="608"/>
      <c r="J193" s="639"/>
      <c r="K193" s="454"/>
      <c r="L193" s="454"/>
      <c r="M193" s="454"/>
      <c r="N193" s="454"/>
      <c r="O193" s="548"/>
      <c r="P193" s="640">
        <v>31394176</v>
      </c>
      <c r="Q193" s="90">
        <f>+S193/P193</f>
        <v>3.0312087184578437E-2</v>
      </c>
      <c r="R193" s="256">
        <f>+F193+I193</f>
        <v>38880204.228333332</v>
      </c>
      <c r="S193" s="663">
        <v>951623</v>
      </c>
      <c r="T193" s="97">
        <f>+S193/R193</f>
        <v>2.4475771639762115E-2</v>
      </c>
      <c r="AB193" s="297" t="s">
        <v>127</v>
      </c>
      <c r="AC193" s="446"/>
      <c r="AD193" s="288">
        <v>17.54</v>
      </c>
      <c r="AE193" s="288">
        <v>20.350000000000001</v>
      </c>
      <c r="AF193" s="288">
        <v>23.71</v>
      </c>
      <c r="AG193" s="288">
        <v>21.47</v>
      </c>
      <c r="AH193" s="376">
        <v>19.100000000000001</v>
      </c>
      <c r="AI193" s="177">
        <v>22.8</v>
      </c>
      <c r="AJ193" s="437">
        <v>31.74</v>
      </c>
      <c r="AK193" s="437">
        <v>28.5</v>
      </c>
      <c r="AL193" s="288">
        <v>28.46</v>
      </c>
      <c r="AM193" s="288">
        <v>29.66</v>
      </c>
      <c r="AN193" s="110">
        <v>40.700000000000003</v>
      </c>
    </row>
    <row r="194" spans="1:40" x14ac:dyDescent="0.25">
      <c r="A194" s="104"/>
      <c r="B194" s="668">
        <v>2020</v>
      </c>
      <c r="C194" s="580"/>
      <c r="D194" s="646">
        <v>30142</v>
      </c>
      <c r="E194" s="651">
        <f>+$AJ$176</f>
        <v>2372.0100000000002</v>
      </c>
      <c r="F194" s="607">
        <f t="shared" ref="F194" si="69">+D194*E194</f>
        <v>71497125.420000002</v>
      </c>
      <c r="G194" s="658"/>
      <c r="H194" s="659"/>
      <c r="I194" s="658"/>
      <c r="J194" s="661"/>
      <c r="K194" s="461"/>
      <c r="L194" s="461"/>
      <c r="M194" s="461"/>
      <c r="N194" s="461"/>
      <c r="O194" s="462"/>
      <c r="P194" s="463">
        <v>45755118</v>
      </c>
      <c r="Q194" s="90">
        <f>+S194/P194</f>
        <v>2.9239636099288389E-2</v>
      </c>
      <c r="R194" s="258">
        <f>+F194+I194</f>
        <v>71497125.420000002</v>
      </c>
      <c r="S194" s="664">
        <v>1337863</v>
      </c>
      <c r="T194" s="96">
        <f>+S194/R194</f>
        <v>1.8712122929990659E-2</v>
      </c>
      <c r="AB194" s="297" t="s">
        <v>128</v>
      </c>
      <c r="AC194" s="446"/>
      <c r="AD194" s="288">
        <v>18.63</v>
      </c>
      <c r="AE194" s="288">
        <v>18.8</v>
      </c>
      <c r="AF194" s="288">
        <v>22.08</v>
      </c>
      <c r="AG194" s="288">
        <v>22.1</v>
      </c>
      <c r="AH194" s="376">
        <v>18.73</v>
      </c>
      <c r="AI194" s="177">
        <v>23.53</v>
      </c>
      <c r="AJ194" s="437">
        <v>31.93</v>
      </c>
      <c r="AK194" s="437">
        <v>29.66</v>
      </c>
      <c r="AL194" s="288">
        <v>28.7</v>
      </c>
      <c r="AM194" s="288">
        <v>31.15</v>
      </c>
      <c r="AN194" s="110">
        <v>43.35</v>
      </c>
    </row>
    <row r="195" spans="1:40" ht="15.75" thickBot="1" x14ac:dyDescent="0.3">
      <c r="A195" s="104"/>
      <c r="B195" s="668">
        <v>2019</v>
      </c>
      <c r="C195" s="897"/>
      <c r="D195" s="405"/>
      <c r="E195" s="652"/>
      <c r="F195" s="405"/>
      <c r="G195" s="405"/>
      <c r="H195" s="653"/>
      <c r="I195" s="405"/>
      <c r="J195" s="138"/>
      <c r="K195" s="136"/>
      <c r="L195" s="136"/>
      <c r="M195" s="136"/>
      <c r="N195" s="136"/>
      <c r="O195" s="137"/>
      <c r="P195" s="404"/>
      <c r="Q195" s="405"/>
      <c r="R195" s="404"/>
      <c r="S195" s="405"/>
      <c r="T195" s="140"/>
      <c r="AB195" s="298" t="s">
        <v>129</v>
      </c>
      <c r="AC195" s="447"/>
      <c r="AD195" s="387">
        <v>18.579999999999998</v>
      </c>
      <c r="AE195" s="387">
        <v>19.260000000000002</v>
      </c>
      <c r="AF195" s="387">
        <v>21.33</v>
      </c>
      <c r="AG195" s="387">
        <v>20.79</v>
      </c>
      <c r="AH195" s="448">
        <v>19.510000000000002</v>
      </c>
      <c r="AI195" s="180">
        <v>22.8</v>
      </c>
      <c r="AJ195" s="438">
        <v>21.12</v>
      </c>
      <c r="AK195" s="438">
        <v>28.63</v>
      </c>
      <c r="AL195" s="289">
        <v>30.22</v>
      </c>
      <c r="AM195" s="289">
        <v>32.82</v>
      </c>
      <c r="AN195" s="1100">
        <v>43.24</v>
      </c>
    </row>
    <row r="196" spans="1:40" ht="15.75" thickBot="1" x14ac:dyDescent="0.3">
      <c r="A196" s="104"/>
      <c r="B196" s="669">
        <v>2018</v>
      </c>
      <c r="C196" s="898"/>
      <c r="D196" s="405"/>
      <c r="E196" s="653"/>
      <c r="F196" s="405"/>
      <c r="G196" s="405"/>
      <c r="H196" s="660"/>
      <c r="I196" s="405"/>
      <c r="J196" s="138"/>
      <c r="K196" s="136"/>
      <c r="L196" s="136"/>
      <c r="M196" s="136"/>
      <c r="N196" s="136"/>
      <c r="O196" s="137"/>
      <c r="P196" s="242"/>
      <c r="Q196" s="139"/>
      <c r="R196" s="242"/>
      <c r="S196" s="139"/>
      <c r="T196" s="140"/>
      <c r="AB196" s="304" t="s">
        <v>133</v>
      </c>
      <c r="AC196" s="442"/>
      <c r="AD196" s="377">
        <f t="shared" ref="AD196:AN196" si="70">SUM(AD184:AD195)/12</f>
        <v>20.659166666666664</v>
      </c>
      <c r="AE196" s="377">
        <f t="shared" si="70"/>
        <v>19.943333333333332</v>
      </c>
      <c r="AF196" s="377">
        <f t="shared" si="70"/>
        <v>22.529166666666669</v>
      </c>
      <c r="AG196" s="377">
        <f t="shared" si="70"/>
        <v>22.250833333333333</v>
      </c>
      <c r="AH196" s="450">
        <f t="shared" si="70"/>
        <v>20.309166666666666</v>
      </c>
      <c r="AI196" s="451">
        <f t="shared" si="70"/>
        <v>21.444166666666664</v>
      </c>
      <c r="AJ196" s="382">
        <f t="shared" si="70"/>
        <v>25.967500000000001</v>
      </c>
      <c r="AK196" s="382">
        <f t="shared" si="70"/>
        <v>32.092500000000001</v>
      </c>
      <c r="AL196" s="379">
        <f t="shared" si="70"/>
        <v>28.558333333333337</v>
      </c>
      <c r="AM196" s="379">
        <f t="shared" si="70"/>
        <v>31.355833333333337</v>
      </c>
      <c r="AN196" s="379">
        <f t="shared" si="70"/>
        <v>38.422499999999999</v>
      </c>
    </row>
    <row r="197" spans="1:40" ht="15.75" thickBot="1" x14ac:dyDescent="0.3">
      <c r="A197" s="29"/>
      <c r="B197" s="16">
        <v>2017</v>
      </c>
      <c r="C197" s="76"/>
      <c r="D197" s="647">
        <v>37603</v>
      </c>
      <c r="E197" s="555">
        <f>+$AG$176</f>
        <v>1628.9166666666667</v>
      </c>
      <c r="F197" s="607">
        <f>+D197*E197</f>
        <v>61252153.416666672</v>
      </c>
      <c r="G197" s="638"/>
      <c r="H197" s="560">
        <f>+$AG$196</f>
        <v>22.250833333333333</v>
      </c>
      <c r="I197" s="604">
        <f>+G197*H197</f>
        <v>0</v>
      </c>
      <c r="J197" s="662"/>
      <c r="K197" s="9"/>
      <c r="L197" s="9"/>
      <c r="M197" s="9"/>
      <c r="N197" s="9"/>
      <c r="O197" s="59"/>
      <c r="P197" s="872">
        <v>51025680</v>
      </c>
      <c r="Q197" s="873">
        <f>+S197/P197</f>
        <v>2.8958007027049908E-2</v>
      </c>
      <c r="R197" s="874">
        <f>+F197+I197</f>
        <v>61252153.416666672</v>
      </c>
      <c r="S197" s="875">
        <v>1477602</v>
      </c>
      <c r="T197" s="95">
        <f>+S197/R197</f>
        <v>2.4123266164189184E-2</v>
      </c>
    </row>
    <row r="198" spans="1:40" x14ac:dyDescent="0.25">
      <c r="A198" s="29"/>
      <c r="B198" s="209">
        <v>2016</v>
      </c>
      <c r="C198" s="201"/>
      <c r="D198" s="169"/>
      <c r="E198" s="131"/>
      <c r="F198" s="656">
        <f>+D198*E198</f>
        <v>0</v>
      </c>
      <c r="G198" s="478"/>
      <c r="H198" s="131"/>
      <c r="I198" s="656"/>
      <c r="J198" s="649"/>
      <c r="K198" s="129"/>
      <c r="L198" s="129"/>
      <c r="M198" s="129"/>
      <c r="N198" s="129"/>
      <c r="O198" s="130"/>
      <c r="P198" s="226"/>
      <c r="Q198" s="481"/>
      <c r="R198" s="516">
        <f>+F198+I198</f>
        <v>0</v>
      </c>
      <c r="S198" s="869"/>
      <c r="T198" s="870"/>
    </row>
    <row r="199" spans="1:40" x14ac:dyDescent="0.25">
      <c r="A199" s="29"/>
      <c r="B199" s="209">
        <v>2015</v>
      </c>
      <c r="C199" s="201"/>
      <c r="D199" s="478"/>
      <c r="E199" s="131"/>
      <c r="F199" s="656">
        <f>+D199*E199</f>
        <v>0</v>
      </c>
      <c r="G199" s="478"/>
      <c r="H199" s="131"/>
      <c r="I199" s="656"/>
      <c r="J199" s="649"/>
      <c r="K199" s="129"/>
      <c r="L199" s="129"/>
      <c r="M199" s="129"/>
      <c r="N199" s="129"/>
      <c r="O199" s="130"/>
      <c r="P199" s="221"/>
      <c r="Q199" s="146"/>
      <c r="R199" s="251">
        <f>+F199+I199</f>
        <v>0</v>
      </c>
      <c r="S199" s="169"/>
      <c r="T199" s="133"/>
    </row>
    <row r="200" spans="1:40" ht="15.75" thickBot="1" x14ac:dyDescent="0.3">
      <c r="A200" s="29"/>
      <c r="B200" s="210">
        <v>2014</v>
      </c>
      <c r="C200" s="899"/>
      <c r="D200" s="648"/>
      <c r="E200" s="134"/>
      <c r="F200" s="657">
        <f>+D200*E200</f>
        <v>0</v>
      </c>
      <c r="G200" s="648"/>
      <c r="H200" s="134"/>
      <c r="I200" s="657"/>
      <c r="J200" s="650"/>
      <c r="K200" s="165"/>
      <c r="L200" s="165"/>
      <c r="M200" s="165"/>
      <c r="N200" s="165"/>
      <c r="O200" s="166"/>
      <c r="P200" s="223"/>
      <c r="Q200" s="168"/>
      <c r="R200" s="252">
        <f>+F200+I200</f>
        <v>0</v>
      </c>
      <c r="S200" s="134"/>
      <c r="T200" s="135"/>
      <c r="U200" s="665"/>
    </row>
    <row r="201" spans="1:40" ht="15.75" thickBot="1" x14ac:dyDescent="0.3">
      <c r="A201" s="29"/>
      <c r="P201" s="1118">
        <f>SUM(P192:P200)</f>
        <v>129088598</v>
      </c>
      <c r="R201" s="229"/>
      <c r="S201" s="514">
        <f>SUM(S192:S200)</f>
        <v>3794340</v>
      </c>
    </row>
    <row r="202" spans="1:40" ht="15.75" thickBot="1" x14ac:dyDescent="0.3">
      <c r="A202" s="29"/>
      <c r="B202" s="79"/>
      <c r="C202" s="906" t="s">
        <v>178</v>
      </c>
      <c r="D202" s="670" t="s">
        <v>5</v>
      </c>
      <c r="E202" s="670" t="s">
        <v>1</v>
      </c>
      <c r="F202" s="1004" t="s">
        <v>3</v>
      </c>
      <c r="G202" s="901" t="s">
        <v>21</v>
      </c>
      <c r="H202" s="672" t="s">
        <v>175</v>
      </c>
      <c r="I202" s="902" t="s">
        <v>4</v>
      </c>
      <c r="J202" s="622"/>
      <c r="K202" s="626"/>
      <c r="L202" s="626"/>
      <c r="M202" s="626"/>
      <c r="N202" s="626"/>
      <c r="O202" s="674"/>
      <c r="P202" s="1120" t="s">
        <v>40</v>
      </c>
      <c r="Q202" s="1121" t="s">
        <v>41</v>
      </c>
      <c r="R202" s="224" t="s">
        <v>113</v>
      </c>
      <c r="S202" s="1122" t="s">
        <v>2</v>
      </c>
      <c r="T202" s="1123" t="s">
        <v>42</v>
      </c>
    </row>
    <row r="203" spans="1:40" x14ac:dyDescent="0.25">
      <c r="A203" s="29"/>
      <c r="B203" s="80">
        <v>2023</v>
      </c>
      <c r="C203" s="677"/>
      <c r="D203" s="1328">
        <v>31697</v>
      </c>
      <c r="E203" s="589">
        <f>+$AM$176</f>
        <v>2622.3766666666666</v>
      </c>
      <c r="F203" s="607">
        <f>+D203*E203</f>
        <v>83121473.203333333</v>
      </c>
      <c r="G203" s="904"/>
      <c r="H203" s="596"/>
      <c r="I203" s="1339"/>
      <c r="J203" s="81"/>
      <c r="K203" s="534"/>
      <c r="L203" s="534"/>
      <c r="M203" s="534"/>
      <c r="N203" s="534"/>
      <c r="O203" s="535"/>
      <c r="P203" s="1341">
        <v>58623334</v>
      </c>
      <c r="Q203" s="359">
        <f t="shared" ref="Q203:Q205" si="71">+S203/P203</f>
        <v>2.5782071691794261E-2</v>
      </c>
      <c r="R203" s="264">
        <f>+F203+I203</f>
        <v>83121473.203333333</v>
      </c>
      <c r="S203" s="1307">
        <v>1511431</v>
      </c>
      <c r="T203" s="97">
        <f t="shared" ref="T203:T205" si="72">+S203/R203</f>
        <v>1.8183400049981171E-2</v>
      </c>
      <c r="X203" s="11"/>
    </row>
    <row r="204" spans="1:40" x14ac:dyDescent="0.25">
      <c r="A204" s="29"/>
      <c r="B204" s="80">
        <v>2022</v>
      </c>
      <c r="C204" s="1326"/>
      <c r="D204" s="633">
        <v>34844</v>
      </c>
      <c r="E204" s="589">
        <f>+$AL$176</f>
        <v>2341.2400000000002</v>
      </c>
      <c r="F204" s="607">
        <f>+D204*E204</f>
        <v>81578166.560000002</v>
      </c>
      <c r="G204" s="1327"/>
      <c r="H204" s="659"/>
      <c r="I204" s="1340"/>
      <c r="J204" s="81"/>
      <c r="K204" s="534"/>
      <c r="L204" s="854"/>
      <c r="M204" s="854"/>
      <c r="N204" s="854"/>
      <c r="O204" s="855"/>
      <c r="P204" s="857">
        <v>63120917</v>
      </c>
      <c r="Q204" s="359">
        <f t="shared" si="71"/>
        <v>2.9828131299169815E-2</v>
      </c>
      <c r="R204" s="264">
        <f>+F204+I204</f>
        <v>81578166.560000002</v>
      </c>
      <c r="S204" s="463">
        <v>1882779</v>
      </c>
      <c r="T204" s="97">
        <f t="shared" si="72"/>
        <v>2.3079447349619375E-2</v>
      </c>
      <c r="X204" s="41"/>
    </row>
    <row r="205" spans="1:40" ht="15.75" thickBot="1" x14ac:dyDescent="0.3">
      <c r="A205" s="30"/>
      <c r="B205" s="577">
        <v>2021</v>
      </c>
      <c r="C205" s="577"/>
      <c r="D205" s="751">
        <v>11579</v>
      </c>
      <c r="E205" s="695">
        <f>+$AK$176</f>
        <v>2256.1483333333331</v>
      </c>
      <c r="F205" s="903">
        <f>+D205*E205</f>
        <v>26123941.551666662</v>
      </c>
      <c r="G205" s="905"/>
      <c r="H205" s="671"/>
      <c r="I205" s="671"/>
      <c r="J205" s="900"/>
      <c r="K205" s="676"/>
      <c r="L205" s="673"/>
      <c r="M205" s="673"/>
      <c r="N205" s="673"/>
      <c r="O205" s="675"/>
      <c r="P205" s="856">
        <v>21094168</v>
      </c>
      <c r="Q205" s="359">
        <f t="shared" si="71"/>
        <v>3.0312122288966317E-2</v>
      </c>
      <c r="R205" s="253">
        <f>+F205+I205</f>
        <v>26123941.551666662</v>
      </c>
      <c r="S205" s="1119">
        <v>639409</v>
      </c>
      <c r="T205" s="97">
        <f t="shared" si="72"/>
        <v>2.4475977284492387E-2</v>
      </c>
    </row>
    <row r="206" spans="1:40" ht="15.75" thickBot="1" x14ac:dyDescent="0.3">
      <c r="P206" s="1118">
        <f>SUM(P204:P205)</f>
        <v>84215085</v>
      </c>
      <c r="R206" s="229"/>
      <c r="S206" s="1118">
        <f>SUM(S204:S205)</f>
        <v>2522188</v>
      </c>
    </row>
    <row r="207" spans="1:40" ht="15.75" thickBot="1" x14ac:dyDescent="0.3">
      <c r="A207" s="412" t="s">
        <v>161</v>
      </c>
      <c r="B207" s="354"/>
      <c r="C207" s="335" t="s">
        <v>23</v>
      </c>
      <c r="D207" s="336" t="s">
        <v>5</v>
      </c>
      <c r="E207" s="336" t="s">
        <v>1</v>
      </c>
      <c r="F207" s="336" t="s">
        <v>3</v>
      </c>
      <c r="G207" s="336" t="s">
        <v>21</v>
      </c>
      <c r="H207" s="1104" t="s">
        <v>175</v>
      </c>
      <c r="I207" s="337" t="s">
        <v>4</v>
      </c>
      <c r="J207" s="338"/>
      <c r="K207" s="336"/>
      <c r="L207" s="336"/>
      <c r="M207" s="336"/>
      <c r="N207" s="336"/>
      <c r="O207" s="339"/>
      <c r="P207" s="340" t="s">
        <v>40</v>
      </c>
      <c r="Q207" s="341" t="s">
        <v>41</v>
      </c>
      <c r="R207" s="342" t="s">
        <v>113</v>
      </c>
      <c r="S207" s="336" t="s">
        <v>2</v>
      </c>
      <c r="T207" s="337" t="s">
        <v>42</v>
      </c>
    </row>
    <row r="208" spans="1:40" x14ac:dyDescent="0.25">
      <c r="A208" s="418"/>
      <c r="B208" s="369">
        <v>2019</v>
      </c>
      <c r="C208" s="907"/>
      <c r="D208" s="464"/>
      <c r="E208" s="915">
        <f>+$AI$176</f>
        <v>1840.5</v>
      </c>
      <c r="F208" s="464"/>
      <c r="G208" s="464"/>
      <c r="H208" s="464"/>
      <c r="I208" s="464"/>
      <c r="J208" s="153"/>
      <c r="K208" s="152"/>
      <c r="L208" s="152"/>
      <c r="M208" s="152"/>
      <c r="N208" s="152"/>
      <c r="O208" s="457"/>
      <c r="P208" s="243"/>
      <c r="Q208" s="154"/>
      <c r="R208" s="262"/>
      <c r="S208" s="464"/>
      <c r="T208" s="154"/>
    </row>
    <row r="209" spans="1:20" x14ac:dyDescent="0.25">
      <c r="A209" s="366"/>
      <c r="B209" s="368">
        <v>2018</v>
      </c>
      <c r="C209" s="908"/>
      <c r="D209" s="909"/>
      <c r="E209" s="653">
        <f>+$AH$176</f>
        <v>1640.75</v>
      </c>
      <c r="F209" s="918">
        <f>+D209*E209</f>
        <v>0</v>
      </c>
      <c r="G209" s="909"/>
      <c r="H209" s="653"/>
      <c r="I209" s="924">
        <f>+G209*H209</f>
        <v>0</v>
      </c>
      <c r="J209" s="923"/>
      <c r="K209" s="147"/>
      <c r="L209" s="147"/>
      <c r="M209" s="147"/>
      <c r="N209" s="147"/>
      <c r="O209" s="148"/>
      <c r="P209" s="465"/>
      <c r="Q209" s="466"/>
      <c r="R209" s="467">
        <f>+F209+I209</f>
        <v>0</v>
      </c>
      <c r="S209" s="465"/>
      <c r="T209" s="468"/>
    </row>
    <row r="210" spans="1:20" x14ac:dyDescent="0.25">
      <c r="A210" s="366"/>
      <c r="B210" s="419">
        <v>2017</v>
      </c>
      <c r="C210" s="369"/>
      <c r="D210" s="910">
        <v>15135</v>
      </c>
      <c r="E210" s="916">
        <f>+$AG$176</f>
        <v>1628.9166666666667</v>
      </c>
      <c r="F210" s="919">
        <f>+D210*E210</f>
        <v>24653653.75</v>
      </c>
      <c r="G210" s="922">
        <v>1827</v>
      </c>
      <c r="H210" s="916">
        <f>+$AG$196</f>
        <v>22.250833333333333</v>
      </c>
      <c r="I210" s="920">
        <f>+G210*H210</f>
        <v>40652.272499999999</v>
      </c>
      <c r="J210" s="913"/>
      <c r="K210" s="343"/>
      <c r="L210" s="343"/>
      <c r="M210" s="343"/>
      <c r="N210" s="343"/>
      <c r="O210" s="344"/>
      <c r="P210" s="345">
        <v>16325718</v>
      </c>
      <c r="Q210" s="428">
        <f>+S210/P210</f>
        <v>9.9999889744512311E-3</v>
      </c>
      <c r="R210" s="429">
        <f>+F210+I210</f>
        <v>24694306.022500001</v>
      </c>
      <c r="S210" s="345">
        <v>163257</v>
      </c>
      <c r="T210" s="430">
        <f>+S210/R210</f>
        <v>6.6111191726242399E-3</v>
      </c>
    </row>
    <row r="211" spans="1:20" x14ac:dyDescent="0.25">
      <c r="A211" s="366"/>
      <c r="B211" s="369">
        <v>2016</v>
      </c>
      <c r="C211" s="369"/>
      <c r="D211" s="911">
        <v>19216</v>
      </c>
      <c r="E211" s="916">
        <f>+$AF$176</f>
        <v>1667.6666666666667</v>
      </c>
      <c r="F211" s="920">
        <f>+D211*E211</f>
        <v>32045882.666666668</v>
      </c>
      <c r="G211" s="911">
        <v>2018</v>
      </c>
      <c r="H211" s="916">
        <f>+$AF$196</f>
        <v>22.529166666666669</v>
      </c>
      <c r="I211" s="920">
        <f>+G211*H211</f>
        <v>45463.858333333337</v>
      </c>
      <c r="J211" s="913"/>
      <c r="K211" s="343"/>
      <c r="L211" s="343"/>
      <c r="M211" s="343"/>
      <c r="N211" s="343"/>
      <c r="O211" s="344"/>
      <c r="P211" s="346">
        <v>22429114</v>
      </c>
      <c r="Q211" s="396">
        <f>+S211/P211</f>
        <v>9.9999937581127813E-3</v>
      </c>
      <c r="R211" s="426">
        <f>+F211+I211</f>
        <v>32091346.525000002</v>
      </c>
      <c r="S211" s="348">
        <v>224291</v>
      </c>
      <c r="T211" s="393">
        <f>+S211/R211</f>
        <v>6.9891426907023489E-3</v>
      </c>
    </row>
    <row r="212" spans="1:20" x14ac:dyDescent="0.25">
      <c r="A212" s="366"/>
      <c r="B212" s="369">
        <v>2015</v>
      </c>
      <c r="C212" s="369"/>
      <c r="D212" s="911">
        <v>26875</v>
      </c>
      <c r="E212" s="916">
        <f>+$AE$176</f>
        <v>1474.75</v>
      </c>
      <c r="F212" s="920">
        <f>+D212*E212</f>
        <v>39633906.25</v>
      </c>
      <c r="G212" s="910">
        <v>4902</v>
      </c>
      <c r="H212" s="916">
        <f>+$AE$196</f>
        <v>19.943333333333332</v>
      </c>
      <c r="I212" s="920">
        <f>+G212*H212</f>
        <v>97762.219999999987</v>
      </c>
      <c r="J212" s="913"/>
      <c r="K212" s="343"/>
      <c r="L212" s="343"/>
      <c r="M212" s="343"/>
      <c r="N212" s="343"/>
      <c r="O212" s="344"/>
      <c r="P212" s="346">
        <v>33873360</v>
      </c>
      <c r="Q212" s="396">
        <f>+S212/P212</f>
        <v>1.0000011808689778E-2</v>
      </c>
      <c r="R212" s="426">
        <f>+F212+I212</f>
        <v>39731668.469999999</v>
      </c>
      <c r="S212" s="348">
        <v>338734</v>
      </c>
      <c r="T212" s="393">
        <f>+S212/R212</f>
        <v>8.5255417918269974E-3</v>
      </c>
    </row>
    <row r="213" spans="1:20" ht="15.75" thickBot="1" x14ac:dyDescent="0.3">
      <c r="A213" s="366"/>
      <c r="B213" s="370">
        <v>2014</v>
      </c>
      <c r="C213" s="370"/>
      <c r="D213" s="912">
        <v>24006</v>
      </c>
      <c r="E213" s="917">
        <f>+$AD$176</f>
        <v>1392.9166666666667</v>
      </c>
      <c r="F213" s="921">
        <f>+D213*E213</f>
        <v>33438357.5</v>
      </c>
      <c r="G213" s="912"/>
      <c r="H213" s="917">
        <f>+$AD$196</f>
        <v>20.659166666666664</v>
      </c>
      <c r="I213" s="921">
        <f>+G213*H213</f>
        <v>0</v>
      </c>
      <c r="J213" s="914"/>
      <c r="K213" s="349"/>
      <c r="L213" s="349"/>
      <c r="M213" s="349"/>
      <c r="N213" s="349"/>
      <c r="O213" s="350"/>
      <c r="P213" s="351">
        <v>29218588</v>
      </c>
      <c r="Q213" s="397">
        <f>+S213/P213</f>
        <v>1.0000004106974643E-2</v>
      </c>
      <c r="R213" s="427">
        <f>+F213+I213</f>
        <v>33438357.5</v>
      </c>
      <c r="S213" s="351">
        <v>292186</v>
      </c>
      <c r="T213" s="394">
        <f>+S213/R213</f>
        <v>8.738048811159459E-3</v>
      </c>
    </row>
    <row r="214" spans="1:20" ht="15.75" thickBot="1" x14ac:dyDescent="0.3">
      <c r="A214" s="334"/>
      <c r="B214" s="36"/>
      <c r="C214" s="36"/>
      <c r="D214" s="36"/>
      <c r="E214" s="36"/>
      <c r="F214" s="36"/>
      <c r="G214" s="36"/>
      <c r="H214" s="36"/>
      <c r="I214" s="36"/>
      <c r="J214" s="36"/>
      <c r="K214" s="36"/>
      <c r="L214" s="36"/>
      <c r="M214" s="36"/>
      <c r="N214" s="36"/>
      <c r="O214" s="36"/>
      <c r="P214" s="269">
        <f>SUM(P209:P213)</f>
        <v>101846780</v>
      </c>
      <c r="Q214" s="36"/>
      <c r="R214" s="275"/>
      <c r="S214" s="312">
        <f>SUM(S209:S213)</f>
        <v>1018468</v>
      </c>
      <c r="T214" s="973"/>
    </row>
    <row r="215" spans="1:20" ht="15.75" thickBot="1" x14ac:dyDescent="0.3">
      <c r="A215" s="334"/>
      <c r="B215" s="354"/>
      <c r="C215" s="335" t="s">
        <v>24</v>
      </c>
      <c r="D215" s="336" t="s">
        <v>5</v>
      </c>
      <c r="E215" s="336" t="s">
        <v>1</v>
      </c>
      <c r="F215" s="336" t="s">
        <v>3</v>
      </c>
      <c r="G215" s="336" t="s">
        <v>21</v>
      </c>
      <c r="H215" s="336" t="s">
        <v>22</v>
      </c>
      <c r="I215" s="337" t="s">
        <v>4</v>
      </c>
      <c r="J215" s="338"/>
      <c r="K215" s="336"/>
      <c r="L215" s="336"/>
      <c r="M215" s="336"/>
      <c r="N215" s="336" t="e">
        <f>+#REF!</f>
        <v>#REF!</v>
      </c>
      <c r="O215" s="339"/>
      <c r="P215" s="340" t="s">
        <v>40</v>
      </c>
      <c r="Q215" s="353" t="s">
        <v>41</v>
      </c>
      <c r="R215" s="342" t="s">
        <v>113</v>
      </c>
      <c r="S215" s="336" t="s">
        <v>2</v>
      </c>
      <c r="T215" s="337" t="s">
        <v>42</v>
      </c>
    </row>
    <row r="216" spans="1:20" x14ac:dyDescent="0.25">
      <c r="A216" s="366"/>
      <c r="B216" s="369">
        <v>2019</v>
      </c>
      <c r="C216" s="907"/>
      <c r="D216" s="464"/>
      <c r="E216" s="915">
        <f>+$AI$176</f>
        <v>1840.5</v>
      </c>
      <c r="F216" s="464"/>
      <c r="G216" s="464"/>
      <c r="H216" s="464"/>
      <c r="I216" s="464"/>
      <c r="J216" s="153"/>
      <c r="K216" s="152"/>
      <c r="L216" s="152"/>
      <c r="M216" s="152"/>
      <c r="N216" s="152"/>
      <c r="O216" s="457"/>
      <c r="P216" s="243"/>
      <c r="Q216" s="464"/>
      <c r="R216" s="262"/>
      <c r="S216" s="464"/>
      <c r="T216" s="154"/>
    </row>
    <row r="217" spans="1:20" ht="15.75" thickBot="1" x14ac:dyDescent="0.3">
      <c r="A217" s="366"/>
      <c r="B217" s="368">
        <v>2018</v>
      </c>
      <c r="C217" s="908"/>
      <c r="D217" s="472"/>
      <c r="E217" s="653">
        <f>+$AH$176</f>
        <v>1640.75</v>
      </c>
      <c r="F217" s="472"/>
      <c r="G217" s="472"/>
      <c r="H217" s="928"/>
      <c r="I217" s="472"/>
      <c r="J217" s="143"/>
      <c r="K217" s="141"/>
      <c r="L217" s="141"/>
      <c r="M217" s="141"/>
      <c r="N217" s="141"/>
      <c r="O217" s="142"/>
      <c r="P217" s="469"/>
      <c r="Q217" s="470"/>
      <c r="R217" s="471"/>
      <c r="S217" s="472"/>
      <c r="T217" s="144"/>
    </row>
    <row r="218" spans="1:20" ht="15.75" thickBot="1" x14ac:dyDescent="0.3">
      <c r="A218" s="416" t="s">
        <v>26</v>
      </c>
      <c r="B218" s="368">
        <v>2017</v>
      </c>
      <c r="C218" s="369"/>
      <c r="D218" s="478"/>
      <c r="E218" s="131">
        <f>+$AG$176</f>
        <v>1628.9166666666667</v>
      </c>
      <c r="F218" s="656">
        <f>+D218*E218</f>
        <v>0</v>
      </c>
      <c r="G218" s="478"/>
      <c r="H218" s="131"/>
      <c r="I218" s="656">
        <f>+G218*H218</f>
        <v>0</v>
      </c>
      <c r="J218" s="649"/>
      <c r="K218" s="129"/>
      <c r="L218" s="129"/>
      <c r="M218" s="130"/>
      <c r="N218" s="473"/>
      <c r="O218" s="474"/>
      <c r="P218" s="221"/>
      <c r="Q218" s="475"/>
      <c r="R218" s="476">
        <f>+F218+I218</f>
        <v>0</v>
      </c>
      <c r="S218" s="131"/>
      <c r="T218" s="477"/>
    </row>
    <row r="219" spans="1:20" x14ac:dyDescent="0.25">
      <c r="A219" s="417" t="s">
        <v>47</v>
      </c>
      <c r="B219" s="369">
        <v>2016</v>
      </c>
      <c r="C219" s="369"/>
      <c r="D219" s="169"/>
      <c r="E219" s="131">
        <f>+$AF$176</f>
        <v>1667.6666666666667</v>
      </c>
      <c r="F219" s="656">
        <f>+D219*E219</f>
        <v>0</v>
      </c>
      <c r="G219" s="478"/>
      <c r="H219" s="131"/>
      <c r="I219" s="656">
        <f>+G219*H219</f>
        <v>0</v>
      </c>
      <c r="J219" s="649"/>
      <c r="K219" s="129"/>
      <c r="L219" s="129"/>
      <c r="M219" s="129"/>
      <c r="N219" s="145"/>
      <c r="O219" s="130"/>
      <c r="P219" s="221"/>
      <c r="Q219" s="475"/>
      <c r="R219" s="476">
        <f>+F219+I219</f>
        <v>0</v>
      </c>
      <c r="S219" s="131"/>
      <c r="T219" s="477"/>
    </row>
    <row r="220" spans="1:20" x14ac:dyDescent="0.25">
      <c r="A220" s="366"/>
      <c r="B220" s="369">
        <v>2015</v>
      </c>
      <c r="C220" s="369"/>
      <c r="D220" s="478"/>
      <c r="E220" s="131">
        <f>+$AE$176</f>
        <v>1474.75</v>
      </c>
      <c r="F220" s="656">
        <f>+D220*E220</f>
        <v>0</v>
      </c>
      <c r="G220" s="478"/>
      <c r="H220" s="131"/>
      <c r="I220" s="656">
        <f>+G220*H220</f>
        <v>0</v>
      </c>
      <c r="J220" s="649"/>
      <c r="K220" s="129"/>
      <c r="L220" s="129"/>
      <c r="M220" s="129"/>
      <c r="N220" s="129"/>
      <c r="O220" s="130"/>
      <c r="P220" s="221"/>
      <c r="Q220" s="475"/>
      <c r="R220" s="476">
        <f>+F220+I220</f>
        <v>0</v>
      </c>
      <c r="S220" s="478"/>
      <c r="T220" s="477"/>
    </row>
    <row r="221" spans="1:20" ht="15.75" thickBot="1" x14ac:dyDescent="0.3">
      <c r="A221" s="366"/>
      <c r="B221" s="370">
        <v>2014</v>
      </c>
      <c r="C221" s="370"/>
      <c r="D221" s="912">
        <v>4929</v>
      </c>
      <c r="E221" s="917">
        <f>+$AD$176</f>
        <v>1392.9166666666667</v>
      </c>
      <c r="F221" s="921">
        <f>+D221*E221</f>
        <v>6865686.25</v>
      </c>
      <c r="G221" s="912"/>
      <c r="H221" s="917">
        <f>+$AD$196</f>
        <v>20.659166666666664</v>
      </c>
      <c r="I221" s="921">
        <f>+G221*H221</f>
        <v>0</v>
      </c>
      <c r="J221" s="914"/>
      <c r="K221" s="349"/>
      <c r="L221" s="349"/>
      <c r="M221" s="349"/>
      <c r="N221" s="349"/>
      <c r="O221" s="350"/>
      <c r="P221" s="351">
        <v>5184856</v>
      </c>
      <c r="Q221" s="617">
        <f>+S221/P221</f>
        <v>1.0000084862530416E-2</v>
      </c>
      <c r="R221" s="427">
        <f>+F221+I221</f>
        <v>6865686.25</v>
      </c>
      <c r="S221" s="351">
        <v>51849</v>
      </c>
      <c r="T221" s="394">
        <f>+S221/R221</f>
        <v>7.5519034969009835E-3</v>
      </c>
    </row>
    <row r="222" spans="1:20" ht="15.75" thickBot="1" x14ac:dyDescent="0.3">
      <c r="A222" s="334"/>
      <c r="B222" s="36"/>
      <c r="C222" s="36"/>
      <c r="D222" s="36"/>
      <c r="E222" s="36"/>
      <c r="F222" s="36"/>
      <c r="G222" s="36"/>
      <c r="H222" s="36"/>
      <c r="I222" s="36"/>
      <c r="J222" s="36"/>
      <c r="K222" s="36"/>
      <c r="L222" s="36"/>
      <c r="M222" s="36"/>
      <c r="N222" s="36"/>
      <c r="O222" s="36"/>
      <c r="P222" s="312">
        <f>SUM(P217:P221)</f>
        <v>5184856</v>
      </c>
      <c r="Q222" s="36"/>
      <c r="R222" s="275"/>
      <c r="S222" s="312">
        <f>SUM(S217:S221)</f>
        <v>51849</v>
      </c>
      <c r="T222" s="395"/>
    </row>
    <row r="223" spans="1:20" ht="15.75" thickBot="1" x14ac:dyDescent="0.3">
      <c r="A223" s="334"/>
      <c r="B223" s="354"/>
      <c r="C223" s="335" t="s">
        <v>25</v>
      </c>
      <c r="D223" s="336" t="s">
        <v>5</v>
      </c>
      <c r="E223" s="336" t="s">
        <v>1</v>
      </c>
      <c r="F223" s="336" t="s">
        <v>3</v>
      </c>
      <c r="G223" s="336" t="s">
        <v>21</v>
      </c>
      <c r="H223" s="339" t="s">
        <v>175</v>
      </c>
      <c r="I223" s="353" t="s">
        <v>4</v>
      </c>
      <c r="J223" s="338"/>
      <c r="K223" s="336"/>
      <c r="L223" s="336"/>
      <c r="M223" s="336"/>
      <c r="N223" s="336"/>
      <c r="O223" s="339"/>
      <c r="P223" s="340" t="s">
        <v>40</v>
      </c>
      <c r="Q223" s="353" t="s">
        <v>41</v>
      </c>
      <c r="R223" s="340" t="s">
        <v>113</v>
      </c>
      <c r="S223" s="353" t="s">
        <v>2</v>
      </c>
      <c r="T223" s="341" t="s">
        <v>42</v>
      </c>
    </row>
    <row r="224" spans="1:20" x14ac:dyDescent="0.25">
      <c r="A224" s="366"/>
      <c r="B224" s="369">
        <v>2019</v>
      </c>
      <c r="C224" s="925"/>
      <c r="D224" s="118"/>
      <c r="E224" s="915">
        <f>+$AI$176</f>
        <v>1840.5</v>
      </c>
      <c r="F224" s="118"/>
      <c r="G224" s="118"/>
      <c r="H224" s="931"/>
      <c r="I224" s="472"/>
      <c r="J224" s="143"/>
      <c r="K224" s="141"/>
      <c r="L224" s="141"/>
      <c r="M224" s="141"/>
      <c r="N224" s="141"/>
      <c r="O224" s="142"/>
      <c r="P224" s="469"/>
      <c r="Q224" s="472"/>
      <c r="R224" s="469"/>
      <c r="S224" s="472"/>
      <c r="T224" s="144"/>
    </row>
    <row r="225" spans="1:25" x14ac:dyDescent="0.25">
      <c r="A225" s="366"/>
      <c r="B225" s="368">
        <v>2018</v>
      </c>
      <c r="C225" s="929"/>
      <c r="D225" s="686"/>
      <c r="E225" s="653">
        <f>+$AH$176</f>
        <v>1640.75</v>
      </c>
      <c r="F225" s="686"/>
      <c r="G225" s="686"/>
      <c r="H225" s="932"/>
      <c r="I225" s="686"/>
      <c r="J225" s="687"/>
      <c r="K225" s="479"/>
      <c r="L225" s="479"/>
      <c r="M225" s="479"/>
      <c r="N225" s="479"/>
      <c r="O225" s="479"/>
      <c r="P225" s="480"/>
      <c r="Q225" s="479"/>
      <c r="R225" s="480"/>
      <c r="S225" s="479"/>
      <c r="T225" s="479"/>
    </row>
    <row r="226" spans="1:25" x14ac:dyDescent="0.25">
      <c r="A226" s="366"/>
      <c r="B226" s="369">
        <v>2017</v>
      </c>
      <c r="C226" s="930"/>
      <c r="D226" s="909"/>
      <c r="E226" s="131">
        <f>+$AG$176</f>
        <v>1628.9166666666667</v>
      </c>
      <c r="F226" s="918"/>
      <c r="G226" s="909"/>
      <c r="H226" s="933"/>
      <c r="I226" s="924"/>
      <c r="J226" s="923"/>
      <c r="K226" s="147"/>
      <c r="L226" s="147"/>
      <c r="M226" s="147"/>
      <c r="N226" s="147"/>
      <c r="O226" s="148"/>
      <c r="P226" s="465"/>
      <c r="Q226" s="481"/>
      <c r="R226" s="482"/>
      <c r="S226" s="483"/>
      <c r="T226" s="484"/>
    </row>
    <row r="227" spans="1:25" x14ac:dyDescent="0.25">
      <c r="A227" s="366"/>
      <c r="B227" s="369">
        <v>2016</v>
      </c>
      <c r="C227" s="926"/>
      <c r="D227" s="911">
        <v>1171</v>
      </c>
      <c r="E227" s="916">
        <f>+$AF$176</f>
        <v>1667.6666666666667</v>
      </c>
      <c r="F227" s="920">
        <f>+D227*E227</f>
        <v>1952837.6666666667</v>
      </c>
      <c r="G227" s="369">
        <v>164</v>
      </c>
      <c r="H227" s="934">
        <f>+$AF$196</f>
        <v>22.529166666666669</v>
      </c>
      <c r="I227" s="920">
        <f>+G227*H227</f>
        <v>3694.7833333333338</v>
      </c>
      <c r="J227" s="913"/>
      <c r="K227" s="343"/>
      <c r="L227" s="343"/>
      <c r="M227" s="343"/>
      <c r="N227" s="343"/>
      <c r="O227" s="344"/>
      <c r="P227" s="346">
        <v>436099</v>
      </c>
      <c r="Q227" s="396">
        <f>+S227/P227</f>
        <v>1.0000022930573104E-2</v>
      </c>
      <c r="R227" s="347">
        <f>+F227+I227</f>
        <v>1956532.4500000002</v>
      </c>
      <c r="S227" s="346">
        <v>4361</v>
      </c>
      <c r="T227" s="393">
        <f>+S227/R227</f>
        <v>2.2289433533289977E-3</v>
      </c>
    </row>
    <row r="228" spans="1:25" x14ac:dyDescent="0.25">
      <c r="A228" s="366"/>
      <c r="B228" s="369">
        <v>2015</v>
      </c>
      <c r="C228" s="926"/>
      <c r="D228" s="911">
        <v>17657</v>
      </c>
      <c r="E228" s="916">
        <f>+$AE$176</f>
        <v>1474.75</v>
      </c>
      <c r="F228" s="920">
        <f>+D228*E228</f>
        <v>26039660.75</v>
      </c>
      <c r="G228" s="910">
        <v>3004</v>
      </c>
      <c r="H228" s="934">
        <f>+$AE$196</f>
        <v>19.943333333333332</v>
      </c>
      <c r="I228" s="920">
        <f>+G228*H228</f>
        <v>59909.773333333331</v>
      </c>
      <c r="J228" s="913"/>
      <c r="K228" s="343"/>
      <c r="L228" s="343"/>
      <c r="M228" s="343"/>
      <c r="N228" s="343"/>
      <c r="O228" s="344"/>
      <c r="P228" s="346">
        <v>13316738</v>
      </c>
      <c r="Q228" s="396">
        <f>+S228/P228</f>
        <v>9.9999714644832694E-3</v>
      </c>
      <c r="R228" s="347">
        <f>+F228+I228</f>
        <v>26099570.523333333</v>
      </c>
      <c r="S228" s="346">
        <v>133167</v>
      </c>
      <c r="T228" s="393">
        <f>+S228/R228</f>
        <v>5.102267866091784E-3</v>
      </c>
    </row>
    <row r="229" spans="1:25" ht="15.75" thickBot="1" x14ac:dyDescent="0.3">
      <c r="A229" s="367"/>
      <c r="B229" s="370">
        <v>2014</v>
      </c>
      <c r="C229" s="927"/>
      <c r="D229" s="912">
        <v>23490</v>
      </c>
      <c r="E229" s="917">
        <f>+$AD$176</f>
        <v>1392.9166666666667</v>
      </c>
      <c r="F229" s="921">
        <f>+D229*E229</f>
        <v>32719612.5</v>
      </c>
      <c r="G229" s="912"/>
      <c r="H229" s="935">
        <f>+$AD$196</f>
        <v>20.659166666666664</v>
      </c>
      <c r="I229" s="921">
        <f>+G229*H229</f>
        <v>0</v>
      </c>
      <c r="J229" s="914"/>
      <c r="K229" s="349"/>
      <c r="L229" s="349"/>
      <c r="M229" s="349"/>
      <c r="N229" s="349"/>
      <c r="O229" s="350"/>
      <c r="P229" s="351">
        <v>22856242</v>
      </c>
      <c r="Q229" s="397">
        <f>+S229/P229</f>
        <v>9.9999816242757663E-3</v>
      </c>
      <c r="R229" s="352">
        <f>+F229+I229</f>
        <v>32719612.5</v>
      </c>
      <c r="S229" s="351">
        <v>228562</v>
      </c>
      <c r="T229" s="394">
        <f>+S229/R229</f>
        <v>6.9854739263797818E-3</v>
      </c>
    </row>
    <row r="230" spans="1:25" ht="15.75" thickBot="1" x14ac:dyDescent="0.3">
      <c r="P230" s="269">
        <f>SUM(P225:P229)</f>
        <v>36609079</v>
      </c>
      <c r="R230" s="229"/>
      <c r="S230" s="269">
        <f>SUM(S225:S229)</f>
        <v>366090</v>
      </c>
    </row>
    <row r="231" spans="1:25" ht="15.75" thickBot="1" x14ac:dyDescent="0.3">
      <c r="A231" s="28"/>
      <c r="B231" s="79"/>
      <c r="C231" s="109" t="s">
        <v>23</v>
      </c>
      <c r="D231" s="42" t="s">
        <v>5</v>
      </c>
      <c r="E231" s="42" t="s">
        <v>1</v>
      </c>
      <c r="F231" s="42" t="s">
        <v>3</v>
      </c>
      <c r="G231" s="43" t="s">
        <v>21</v>
      </c>
      <c r="H231" s="49" t="s">
        <v>175</v>
      </c>
      <c r="I231" s="73" t="s">
        <v>4</v>
      </c>
      <c r="J231" s="887"/>
      <c r="K231" s="1071"/>
      <c r="L231" s="74"/>
      <c r="M231" s="45"/>
      <c r="N231" s="45"/>
      <c r="O231" s="58"/>
      <c r="P231" s="238" t="s">
        <v>40</v>
      </c>
      <c r="Q231" s="51" t="s">
        <v>41</v>
      </c>
      <c r="R231" s="261" t="s">
        <v>113</v>
      </c>
      <c r="S231" s="98" t="s">
        <v>2</v>
      </c>
      <c r="T231" s="99" t="s">
        <v>42</v>
      </c>
    </row>
    <row r="232" spans="1:25" ht="15.75" thickBot="1" x14ac:dyDescent="0.3">
      <c r="A232" s="13"/>
      <c r="B232" s="80">
        <v>2023</v>
      </c>
      <c r="C232" s="1389"/>
      <c r="D232" s="486"/>
      <c r="E232" s="486"/>
      <c r="F232" s="486"/>
      <c r="G232" s="486"/>
      <c r="H232" s="486"/>
      <c r="I232" s="119"/>
      <c r="J232" s="143"/>
      <c r="K232" s="141"/>
      <c r="L232" s="141"/>
      <c r="M232" s="141"/>
      <c r="N232" s="141"/>
      <c r="O232" s="142"/>
      <c r="P232" s="485"/>
      <c r="Q232" s="119"/>
      <c r="R232" s="260"/>
      <c r="S232" s="118"/>
      <c r="T232" s="144"/>
    </row>
    <row r="233" spans="1:25" ht="15.75" thickBot="1" x14ac:dyDescent="0.3">
      <c r="A233" s="13"/>
      <c r="B233" s="76">
        <v>2022</v>
      </c>
      <c r="C233" s="1389"/>
      <c r="D233" s="486"/>
      <c r="E233" s="486"/>
      <c r="F233" s="486"/>
      <c r="G233" s="486"/>
      <c r="H233" s="486"/>
      <c r="I233" s="119"/>
      <c r="J233" s="143"/>
      <c r="K233" s="141"/>
      <c r="L233" s="141"/>
      <c r="M233" s="141"/>
      <c r="N233" s="141"/>
      <c r="O233" s="142"/>
      <c r="P233" s="485"/>
      <c r="Q233" s="119"/>
      <c r="R233" s="260"/>
      <c r="S233" s="118"/>
      <c r="T233" s="144"/>
    </row>
    <row r="234" spans="1:25" ht="15.75" thickBot="1" x14ac:dyDescent="0.3">
      <c r="A234" s="13"/>
      <c r="B234" s="76">
        <v>2021</v>
      </c>
      <c r="C234" s="1389"/>
      <c r="D234" s="486"/>
      <c r="E234" s="486"/>
      <c r="F234" s="486"/>
      <c r="G234" s="486"/>
      <c r="H234" s="486"/>
      <c r="I234" s="119"/>
      <c r="J234" s="143"/>
      <c r="K234" s="141"/>
      <c r="L234" s="141"/>
      <c r="M234" s="141"/>
      <c r="N234" s="141"/>
      <c r="O234" s="142"/>
      <c r="P234" s="485"/>
      <c r="Q234" s="119"/>
      <c r="R234" s="260"/>
      <c r="S234" s="118"/>
      <c r="T234" s="144"/>
    </row>
    <row r="235" spans="1:25" ht="15.75" thickBot="1" x14ac:dyDescent="0.3">
      <c r="A235" s="13"/>
      <c r="B235" s="76">
        <v>2020</v>
      </c>
      <c r="C235" s="1390"/>
      <c r="D235" s="936"/>
      <c r="E235" s="938">
        <f>+$AJ$176</f>
        <v>2372.0100000000002</v>
      </c>
      <c r="F235" s="940">
        <f>+D235*E235</f>
        <v>0</v>
      </c>
      <c r="G235" s="941"/>
      <c r="H235" s="942">
        <f>+AJ$196</f>
        <v>25.967500000000001</v>
      </c>
      <c r="I235" s="940">
        <f>+G235*H235</f>
        <v>0</v>
      </c>
      <c r="J235" s="143"/>
      <c r="K235" s="141"/>
      <c r="L235" s="141"/>
      <c r="M235" s="141"/>
      <c r="N235" s="141"/>
      <c r="O235" s="142"/>
      <c r="P235" s="485"/>
      <c r="Q235" s="119"/>
      <c r="R235" s="260"/>
      <c r="S235" s="118"/>
      <c r="T235" s="144"/>
      <c r="Y235" s="36"/>
    </row>
    <row r="236" spans="1:25" ht="15.75" thickBot="1" x14ac:dyDescent="0.3">
      <c r="A236" s="13"/>
      <c r="B236" s="319">
        <v>2019</v>
      </c>
      <c r="C236" s="1391"/>
      <c r="D236" s="587">
        <v>12534</v>
      </c>
      <c r="E236" s="590">
        <f>+$AI$176</f>
        <v>1840.5</v>
      </c>
      <c r="F236" s="593">
        <f>+D236*E236</f>
        <v>23068827</v>
      </c>
      <c r="G236" s="643"/>
      <c r="H236" s="559"/>
      <c r="I236" s="943">
        <f>+G236*H236</f>
        <v>0</v>
      </c>
      <c r="J236" s="551"/>
      <c r="K236" s="10"/>
      <c r="L236" s="10"/>
      <c r="M236" s="10"/>
      <c r="N236" s="10"/>
      <c r="O236" s="10"/>
      <c r="P236" s="357">
        <v>17110650</v>
      </c>
      <c r="Q236" s="90">
        <f>+S236/P236</f>
        <v>1.0000029221566686E-2</v>
      </c>
      <c r="R236" s="248">
        <f>+F236+I236</f>
        <v>23068827</v>
      </c>
      <c r="S236" s="217">
        <v>171107</v>
      </c>
      <c r="T236" s="97">
        <f>+S236/R236</f>
        <v>7.4172388565747187E-3</v>
      </c>
    </row>
    <row r="237" spans="1:25" ht="15.75" thickBot="1" x14ac:dyDescent="0.3">
      <c r="A237" s="13"/>
      <c r="B237" s="80">
        <v>2018</v>
      </c>
      <c r="C237" s="1391"/>
      <c r="D237" s="587">
        <v>14856</v>
      </c>
      <c r="E237" s="554">
        <f>+$AH$176</f>
        <v>1640.75</v>
      </c>
      <c r="F237" s="593">
        <f>+D237*E237</f>
        <v>24374982</v>
      </c>
      <c r="G237" s="643">
        <v>2113</v>
      </c>
      <c r="H237" s="559">
        <f>+$AH$196</f>
        <v>20.309166666666666</v>
      </c>
      <c r="I237" s="562">
        <f>+G237*H237</f>
        <v>42913.269166666665</v>
      </c>
      <c r="J237" s="551"/>
      <c r="K237" s="10"/>
      <c r="L237" s="10"/>
      <c r="M237" s="10"/>
      <c r="N237" s="10"/>
      <c r="O237" s="10"/>
      <c r="P237" s="357">
        <v>19496255</v>
      </c>
      <c r="Q237" s="90">
        <f>+S237/P237</f>
        <v>1.0000023081355881E-2</v>
      </c>
      <c r="R237" s="248">
        <f>+F237+I237</f>
        <v>24417895.269166667</v>
      </c>
      <c r="S237" s="217">
        <v>194963</v>
      </c>
      <c r="T237" s="97">
        <f>+S237/R237</f>
        <v>7.9844310023799072E-3</v>
      </c>
    </row>
    <row r="238" spans="1:25" x14ac:dyDescent="0.25">
      <c r="A238" s="33" t="s">
        <v>27</v>
      </c>
      <c r="B238" s="76">
        <v>2017</v>
      </c>
      <c r="C238" s="209"/>
      <c r="D238" s="587">
        <v>5444</v>
      </c>
      <c r="E238" s="555">
        <f>+$AG$176</f>
        <v>1628.9166666666667</v>
      </c>
      <c r="F238" s="593">
        <f>+D238*E238</f>
        <v>8867822.333333334</v>
      </c>
      <c r="G238" s="643">
        <v>426</v>
      </c>
      <c r="H238" s="560">
        <f>+$AG$196</f>
        <v>22.250833333333333</v>
      </c>
      <c r="I238" s="604">
        <f>+G238*H238</f>
        <v>9478.8549999999996</v>
      </c>
      <c r="J238" s="551"/>
      <c r="K238" s="10"/>
      <c r="L238" s="10"/>
      <c r="M238" s="10"/>
      <c r="N238" s="10"/>
      <c r="O238" s="10"/>
      <c r="P238" s="357">
        <v>7209000</v>
      </c>
      <c r="Q238" s="90">
        <f>+S238/P238</f>
        <v>0.01</v>
      </c>
      <c r="R238" s="255">
        <f>+F238+I238</f>
        <v>8877301.1883333344</v>
      </c>
      <c r="S238" s="220">
        <v>72090</v>
      </c>
      <c r="T238" s="97">
        <f>+S238/R238</f>
        <v>8.1207112917089739E-3</v>
      </c>
    </row>
    <row r="239" spans="1:25" x14ac:dyDescent="0.25">
      <c r="A239" s="33" t="s">
        <v>28</v>
      </c>
      <c r="B239" s="76">
        <v>2016</v>
      </c>
      <c r="C239" s="209"/>
      <c r="D239" s="478"/>
      <c r="E239" s="131"/>
      <c r="F239" s="656"/>
      <c r="G239" s="478"/>
      <c r="H239" s="131"/>
      <c r="I239" s="656"/>
      <c r="J239" s="649"/>
      <c r="K239" s="129"/>
      <c r="L239" s="129"/>
      <c r="M239" s="129"/>
      <c r="N239" s="129"/>
      <c r="O239" s="130"/>
      <c r="P239" s="226"/>
      <c r="Q239" s="146"/>
      <c r="R239" s="251"/>
      <c r="S239" s="131"/>
      <c r="T239" s="133"/>
    </row>
    <row r="240" spans="1:25" ht="15.75" thickBot="1" x14ac:dyDescent="0.3">
      <c r="A240" s="105" t="s">
        <v>48</v>
      </c>
      <c r="B240" s="76">
        <v>2015</v>
      </c>
      <c r="C240" s="209"/>
      <c r="D240" s="478"/>
      <c r="E240" s="939"/>
      <c r="F240" s="656"/>
      <c r="G240" s="683"/>
      <c r="H240" s="131"/>
      <c r="I240" s="656"/>
      <c r="J240" s="649"/>
      <c r="K240" s="129"/>
      <c r="L240" s="129"/>
      <c r="M240" s="129"/>
      <c r="N240" s="129"/>
      <c r="O240" s="130"/>
      <c r="P240" s="221"/>
      <c r="Q240" s="146"/>
      <c r="R240" s="251"/>
      <c r="S240" s="131"/>
      <c r="T240" s="133"/>
    </row>
    <row r="241" spans="1:24" ht="15.75" thickBot="1" x14ac:dyDescent="0.3">
      <c r="A241" s="18"/>
      <c r="B241" s="77">
        <v>2014</v>
      </c>
      <c r="C241" s="210"/>
      <c r="D241" s="648"/>
      <c r="E241" s="937"/>
      <c r="F241" s="657"/>
      <c r="G241" s="648"/>
      <c r="H241" s="134"/>
      <c r="I241" s="657"/>
      <c r="J241" s="650"/>
      <c r="K241" s="165"/>
      <c r="L241" s="165"/>
      <c r="M241" s="165"/>
      <c r="N241" s="165"/>
      <c r="O241" s="166"/>
      <c r="P241" s="223"/>
      <c r="Q241" s="168"/>
      <c r="R241" s="252"/>
      <c r="S241" s="134"/>
      <c r="T241" s="135"/>
    </row>
    <row r="242" spans="1:24" ht="15.75" thickBot="1" x14ac:dyDescent="0.3">
      <c r="P242" s="269">
        <f>SUM(P236:P241)</f>
        <v>43815905</v>
      </c>
      <c r="R242" s="229"/>
      <c r="S242" s="269">
        <f>SUM(S236:S241)</f>
        <v>438160</v>
      </c>
    </row>
    <row r="243" spans="1:24" ht="15.75" thickBot="1" x14ac:dyDescent="0.3">
      <c r="A243" s="28"/>
      <c r="B243" s="666"/>
      <c r="C243" s="624" t="s">
        <v>29</v>
      </c>
      <c r="D243" s="42" t="s">
        <v>5</v>
      </c>
      <c r="E243" s="42" t="s">
        <v>1</v>
      </c>
      <c r="F243" s="42" t="s">
        <v>3</v>
      </c>
      <c r="G243" s="43" t="s">
        <v>21</v>
      </c>
      <c r="H243" s="43" t="s">
        <v>175</v>
      </c>
      <c r="I243" s="313" t="s">
        <v>4</v>
      </c>
      <c r="J243" s="74"/>
      <c r="K243" s="45"/>
      <c r="L243" s="45"/>
      <c r="M243" s="45"/>
      <c r="N243" s="45"/>
      <c r="O243" s="58"/>
      <c r="P243" s="238" t="s">
        <v>40</v>
      </c>
      <c r="Q243" s="86" t="s">
        <v>41</v>
      </c>
      <c r="R243" s="259" t="s">
        <v>113</v>
      </c>
      <c r="S243" s="1322" t="s">
        <v>2</v>
      </c>
      <c r="T243" s="98" t="s">
        <v>42</v>
      </c>
    </row>
    <row r="244" spans="1:24" ht="15.75" thickBot="1" x14ac:dyDescent="0.3">
      <c r="A244" s="29"/>
      <c r="B244" s="961">
        <v>2023</v>
      </c>
      <c r="C244" s="579"/>
      <c r="D244" s="1298">
        <v>34920</v>
      </c>
      <c r="E244" s="944">
        <f>+$AM$176</f>
        <v>2622.3766666666666</v>
      </c>
      <c r="F244" s="945">
        <f>+D244*E244</f>
        <v>91573393.200000003</v>
      </c>
      <c r="G244" s="1371">
        <v>2908</v>
      </c>
      <c r="H244" s="1113">
        <f>+$AM$196</f>
        <v>31.355833333333337</v>
      </c>
      <c r="I244" s="943">
        <f>+G244*H244</f>
        <v>91182.763333333336</v>
      </c>
      <c r="J244" s="361"/>
      <c r="K244" s="362"/>
      <c r="L244" s="362"/>
      <c r="M244" s="362"/>
      <c r="N244" s="362"/>
      <c r="O244" s="363"/>
      <c r="P244" s="867">
        <v>48357598</v>
      </c>
      <c r="Q244" s="90">
        <f>+S244/P244</f>
        <v>1.0000000413585472E-2</v>
      </c>
      <c r="R244" s="1373">
        <f>+F244+I244</f>
        <v>91664575.963333338</v>
      </c>
      <c r="S244" s="845">
        <v>483576</v>
      </c>
      <c r="T244" s="97">
        <f>+S244/R244</f>
        <v>5.2754948672149513E-3</v>
      </c>
    </row>
    <row r="245" spans="1:24" ht="15.75" thickBot="1" x14ac:dyDescent="0.3">
      <c r="A245" s="29"/>
      <c r="B245" s="961">
        <v>2022</v>
      </c>
      <c r="C245" s="581"/>
      <c r="D245" s="1279">
        <v>33750</v>
      </c>
      <c r="E245" s="589">
        <f>+$AL$176</f>
        <v>2341.2400000000002</v>
      </c>
      <c r="F245" s="607">
        <f>+D245*E245</f>
        <v>79016850.000000015</v>
      </c>
      <c r="G245" s="878">
        <v>3010</v>
      </c>
      <c r="H245" s="879">
        <f>+$AL$196</f>
        <v>28.558333333333337</v>
      </c>
      <c r="I245" s="562">
        <f>+G245*H245</f>
        <v>85960.583333333343</v>
      </c>
      <c r="J245" s="1354"/>
      <c r="K245" s="454"/>
      <c r="L245" s="454"/>
      <c r="M245" s="454"/>
      <c r="N245" s="454"/>
      <c r="O245" s="548"/>
      <c r="P245" s="458">
        <v>41919650</v>
      </c>
      <c r="Q245" s="90">
        <f>+S245/P245</f>
        <v>1.0000011927580502E-2</v>
      </c>
      <c r="R245" s="256">
        <f>+F245+I245</f>
        <v>79102810.583333343</v>
      </c>
      <c r="S245" s="1444">
        <v>419197</v>
      </c>
      <c r="T245" s="97">
        <f>+S245/R245</f>
        <v>5.2993945083453604E-3</v>
      </c>
    </row>
    <row r="246" spans="1:24" ht="15.75" thickBot="1" x14ac:dyDescent="0.3">
      <c r="A246" s="29"/>
      <c r="B246" s="961">
        <v>2021</v>
      </c>
      <c r="C246" s="631"/>
      <c r="D246" s="1363">
        <v>18000</v>
      </c>
      <c r="E246" s="589">
        <f>+$AK$176</f>
        <v>2256.1483333333331</v>
      </c>
      <c r="F246" s="903">
        <f>+D246*E246</f>
        <v>40610669.999999993</v>
      </c>
      <c r="G246" s="700">
        <v>1634</v>
      </c>
      <c r="H246" s="879">
        <f>+$AK$196</f>
        <v>32.092500000000001</v>
      </c>
      <c r="I246" s="1124">
        <f>+G246*H246</f>
        <v>52439.145000000004</v>
      </c>
      <c r="J246" s="967"/>
      <c r="K246" s="317"/>
      <c r="L246" s="317"/>
      <c r="M246" s="317"/>
      <c r="N246" s="317"/>
      <c r="O246" s="403"/>
      <c r="P246" s="1348">
        <v>31918954</v>
      </c>
      <c r="Q246" s="90">
        <f>+S246/P246</f>
        <v>1.0000014411499825E-2</v>
      </c>
      <c r="R246" s="1079">
        <f>+F246+I246</f>
        <v>40663109.144999996</v>
      </c>
      <c r="S246" s="1445">
        <v>319190</v>
      </c>
      <c r="T246" s="97">
        <f>+S246/R246</f>
        <v>7.84962111140604E-3</v>
      </c>
    </row>
    <row r="247" spans="1:24" ht="15.75" thickBot="1" x14ac:dyDescent="0.3">
      <c r="A247" s="32" t="s">
        <v>30</v>
      </c>
      <c r="B247" s="14">
        <v>2020</v>
      </c>
      <c r="C247" s="581"/>
      <c r="D247" s="144"/>
      <c r="E247" s="472"/>
      <c r="F247" s="472"/>
      <c r="G247" s="472"/>
      <c r="H247" s="472"/>
      <c r="I247" s="931"/>
      <c r="J247" s="969"/>
      <c r="K247" s="479"/>
      <c r="L247" s="479"/>
      <c r="M247" s="479"/>
      <c r="N247" s="479"/>
      <c r="O247" s="788"/>
      <c r="P247" s="239"/>
      <c r="Q247" s="118"/>
      <c r="R247" s="260"/>
      <c r="S247" s="470"/>
      <c r="T247" s="144"/>
    </row>
    <row r="248" spans="1:24" ht="15.75" thickBot="1" x14ac:dyDescent="0.3">
      <c r="A248" s="104" t="s">
        <v>31</v>
      </c>
      <c r="B248" s="284">
        <v>2019</v>
      </c>
      <c r="C248" s="631"/>
      <c r="D248" s="1364"/>
      <c r="E248" s="652"/>
      <c r="F248" s="656"/>
      <c r="G248" s="784"/>
      <c r="H248" s="660"/>
      <c r="I248" s="963"/>
      <c r="J248" s="970"/>
      <c r="K248" s="129"/>
      <c r="L248" s="129"/>
      <c r="M248" s="129"/>
      <c r="N248" s="129"/>
      <c r="O248" s="130"/>
      <c r="P248" s="240"/>
      <c r="Q248" s="286"/>
      <c r="R248" s="233"/>
      <c r="S248" s="240"/>
      <c r="T248" s="287"/>
    </row>
    <row r="249" spans="1:24" x14ac:dyDescent="0.25">
      <c r="A249" s="104" t="s">
        <v>49</v>
      </c>
      <c r="B249" s="961">
        <v>2018</v>
      </c>
      <c r="C249" s="631"/>
      <c r="D249" s="154"/>
      <c r="E249" s="653"/>
      <c r="F249" s="464"/>
      <c r="G249" s="464"/>
      <c r="H249" s="660"/>
      <c r="I249" s="964"/>
      <c r="J249" s="969"/>
      <c r="K249" s="479"/>
      <c r="L249" s="479"/>
      <c r="M249" s="479"/>
      <c r="N249" s="479"/>
      <c r="O249" s="788"/>
      <c r="P249" s="243"/>
      <c r="Q249" s="154"/>
      <c r="R249" s="262"/>
      <c r="S249" s="155"/>
      <c r="T249" s="154"/>
    </row>
    <row r="250" spans="1:24" x14ac:dyDescent="0.25">
      <c r="A250" s="31"/>
      <c r="B250" s="14">
        <v>2017</v>
      </c>
      <c r="C250" s="319"/>
      <c r="D250" s="1282">
        <v>584</v>
      </c>
      <c r="E250" s="555">
        <f>+$AG$176</f>
        <v>1628.9166666666667</v>
      </c>
      <c r="F250" s="607">
        <f>+D250*E250</f>
        <v>951287.33333333337</v>
      </c>
      <c r="G250" s="946">
        <v>90</v>
      </c>
      <c r="H250" s="560">
        <f>+$AG$196</f>
        <v>22.250833333333333</v>
      </c>
      <c r="I250" s="965">
        <f>+G250*H250</f>
        <v>2002.5749999999998</v>
      </c>
      <c r="J250" s="971"/>
      <c r="K250" s="10"/>
      <c r="L250" s="10"/>
      <c r="M250" s="10"/>
      <c r="N250" s="10"/>
      <c r="O250" s="56"/>
      <c r="P250" s="220">
        <v>932878</v>
      </c>
      <c r="Q250" s="83">
        <f>+S250/P250</f>
        <v>2.6205999069546071E-2</v>
      </c>
      <c r="R250" s="255">
        <f>+F250+I250</f>
        <v>953289.90833333333</v>
      </c>
      <c r="S250" s="212">
        <v>24447</v>
      </c>
      <c r="T250" s="97">
        <f>+S250/R250</f>
        <v>2.5644874435670317E-2</v>
      </c>
    </row>
    <row r="251" spans="1:24" x14ac:dyDescent="0.25">
      <c r="A251" s="32"/>
      <c r="B251" s="284">
        <v>2016</v>
      </c>
      <c r="C251" s="76"/>
      <c r="D251" s="1283">
        <v>1391</v>
      </c>
      <c r="E251" s="555">
        <f>+$AF$176</f>
        <v>1667.6666666666667</v>
      </c>
      <c r="F251" s="593">
        <f>+D251*E251</f>
        <v>2319724.3333333335</v>
      </c>
      <c r="G251" s="599">
        <v>229</v>
      </c>
      <c r="H251" s="560">
        <f>+$AF$196</f>
        <v>22.529166666666669</v>
      </c>
      <c r="I251" s="565">
        <f>+G251*H251</f>
        <v>5159.1791666666668</v>
      </c>
      <c r="J251" s="971"/>
      <c r="K251" s="10"/>
      <c r="L251" s="10"/>
      <c r="M251" s="10"/>
      <c r="N251" s="10"/>
      <c r="O251" s="56"/>
      <c r="P251" s="212">
        <v>2444680</v>
      </c>
      <c r="Q251" s="65">
        <f>+S251/P251</f>
        <v>1.0000081810298281E-2</v>
      </c>
      <c r="R251" s="256">
        <f>+F251+I251</f>
        <v>2324883.5125000002</v>
      </c>
      <c r="S251" s="212">
        <v>24447</v>
      </c>
      <c r="T251" s="94">
        <f>+S251/R251</f>
        <v>1.0515365552105268E-2</v>
      </c>
    </row>
    <row r="252" spans="1:24" ht="15.75" thickBot="1" x14ac:dyDescent="0.3">
      <c r="A252" s="104"/>
      <c r="B252" s="284">
        <v>2015</v>
      </c>
      <c r="C252" s="76"/>
      <c r="D252" s="1364"/>
      <c r="E252" s="939"/>
      <c r="F252" s="656"/>
      <c r="G252" s="478"/>
      <c r="H252" s="131"/>
      <c r="I252" s="966"/>
      <c r="J252" s="970"/>
      <c r="K252" s="129"/>
      <c r="L252" s="129"/>
      <c r="M252" s="129"/>
      <c r="N252" s="129"/>
      <c r="O252" s="130"/>
      <c r="P252" s="221"/>
      <c r="Q252" s="132"/>
      <c r="R252" s="251"/>
      <c r="S252" s="221"/>
      <c r="T252" s="133"/>
      <c r="X252" s="1"/>
    </row>
    <row r="253" spans="1:24" ht="15.75" thickBot="1" x14ac:dyDescent="0.3">
      <c r="A253" s="106"/>
      <c r="B253" s="285">
        <v>2014</v>
      </c>
      <c r="C253" s="77"/>
      <c r="D253" s="1372">
        <v>163</v>
      </c>
      <c r="E253" s="962">
        <f>+$AD$176</f>
        <v>1392.9166666666667</v>
      </c>
      <c r="F253" s="595">
        <f>+D253*E253</f>
        <v>227045.41666666669</v>
      </c>
      <c r="G253" s="793">
        <v>17</v>
      </c>
      <c r="H253" s="561">
        <f>+$AD$196</f>
        <v>20.659166666666664</v>
      </c>
      <c r="I253" s="566">
        <f>+G253*H253</f>
        <v>351.20583333333332</v>
      </c>
      <c r="J253" s="972"/>
      <c r="K253" s="25"/>
      <c r="L253" s="25"/>
      <c r="M253" s="25"/>
      <c r="N253" s="25"/>
      <c r="O253" s="57"/>
      <c r="P253" s="213">
        <v>165560</v>
      </c>
      <c r="Q253" s="66">
        <f>+S253/P253</f>
        <v>1.0002416042522349E-2</v>
      </c>
      <c r="R253" s="257">
        <f>+F253+I253</f>
        <v>227396.62250000003</v>
      </c>
      <c r="S253" s="219">
        <v>1656</v>
      </c>
      <c r="T253" s="89">
        <f>+S253/R253</f>
        <v>7.2824300633576901E-3</v>
      </c>
    </row>
    <row r="254" spans="1:24" ht="15.75" thickBot="1" x14ac:dyDescent="0.3">
      <c r="P254" s="312">
        <f>SUM(P245:P253)</f>
        <v>77381722</v>
      </c>
      <c r="R254" s="229"/>
      <c r="S254" s="269">
        <f>SUM(S245:S253)</f>
        <v>788937</v>
      </c>
    </row>
    <row r="255" spans="1:24" ht="15.75" thickBot="1" x14ac:dyDescent="0.3">
      <c r="A255" s="28"/>
      <c r="B255" s="79"/>
      <c r="C255" s="72" t="s">
        <v>32</v>
      </c>
      <c r="D255" s="42" t="s">
        <v>5</v>
      </c>
      <c r="E255" s="42" t="s">
        <v>1</v>
      </c>
      <c r="F255" s="42" t="s">
        <v>3</v>
      </c>
      <c r="G255" s="43" t="s">
        <v>21</v>
      </c>
      <c r="H255" s="842" t="s">
        <v>175</v>
      </c>
      <c r="I255" s="313" t="s">
        <v>4</v>
      </c>
      <c r="J255" s="74"/>
      <c r="K255" s="45"/>
      <c r="L255" s="45"/>
      <c r="M255" s="45"/>
      <c r="N255" s="45"/>
      <c r="O255" s="58"/>
      <c r="P255" s="237" t="s">
        <v>40</v>
      </c>
      <c r="Q255" s="46" t="s">
        <v>41</v>
      </c>
      <c r="R255" s="866" t="s">
        <v>113</v>
      </c>
      <c r="S255" s="87" t="s">
        <v>2</v>
      </c>
      <c r="T255" s="87" t="s">
        <v>42</v>
      </c>
    </row>
    <row r="256" spans="1:24" x14ac:dyDescent="0.25">
      <c r="A256" s="29"/>
      <c r="B256" s="115">
        <v>2023</v>
      </c>
      <c r="C256" s="642"/>
      <c r="D256" s="470"/>
      <c r="E256" s="470"/>
      <c r="F256" s="470"/>
      <c r="G256" s="470"/>
      <c r="H256" s="470"/>
      <c r="I256" s="470"/>
      <c r="J256" s="470"/>
      <c r="K256" s="470"/>
      <c r="L256" s="470"/>
      <c r="M256" s="470"/>
      <c r="N256" s="470"/>
      <c r="O256" s="470"/>
      <c r="P256" s="488"/>
      <c r="Q256" s="470"/>
      <c r="R256" s="488"/>
      <c r="S256" s="470"/>
      <c r="T256" s="470"/>
    </row>
    <row r="257" spans="1:24" x14ac:dyDescent="0.25">
      <c r="A257" s="29"/>
      <c r="B257" s="76">
        <v>2022</v>
      </c>
      <c r="C257" s="425"/>
      <c r="D257" s="470"/>
      <c r="E257" s="470"/>
      <c r="F257" s="470"/>
      <c r="G257" s="470"/>
      <c r="H257" s="470"/>
      <c r="I257" s="470"/>
      <c r="J257" s="470"/>
      <c r="K257" s="470"/>
      <c r="L257" s="470"/>
      <c r="M257" s="470"/>
      <c r="N257" s="470"/>
      <c r="O257" s="470"/>
      <c r="P257" s="488"/>
      <c r="Q257" s="470"/>
      <c r="R257" s="488"/>
      <c r="S257" s="470"/>
      <c r="T257" s="470"/>
    </row>
    <row r="258" spans="1:24" x14ac:dyDescent="0.25">
      <c r="A258" s="29"/>
      <c r="B258" s="115">
        <v>2021</v>
      </c>
      <c r="C258" s="425"/>
      <c r="D258" s="470"/>
      <c r="E258" s="470"/>
      <c r="F258" s="470"/>
      <c r="G258" s="470"/>
      <c r="H258" s="470"/>
      <c r="I258" s="470"/>
      <c r="J258" s="470"/>
      <c r="K258" s="470"/>
      <c r="L258" s="470"/>
      <c r="M258" s="470"/>
      <c r="N258" s="470"/>
      <c r="O258" s="470"/>
      <c r="P258" s="488"/>
      <c r="Q258" s="470"/>
      <c r="R258" s="488"/>
      <c r="S258" s="470"/>
      <c r="T258" s="470"/>
    </row>
    <row r="259" spans="1:24" ht="15.75" thickBot="1" x14ac:dyDescent="0.3">
      <c r="A259" s="29"/>
      <c r="B259" s="76">
        <v>2020</v>
      </c>
      <c r="C259" s="581"/>
      <c r="D259" s="472"/>
      <c r="E259" s="472"/>
      <c r="F259" s="472"/>
      <c r="G259" s="472"/>
      <c r="H259" s="472"/>
      <c r="I259" s="472"/>
      <c r="J259" s="143"/>
      <c r="K259" s="141"/>
      <c r="L259" s="141"/>
      <c r="M259" s="141"/>
      <c r="N259" s="141"/>
      <c r="O259" s="142"/>
      <c r="P259" s="469"/>
      <c r="Q259" s="144"/>
      <c r="R259" s="471"/>
      <c r="S259" s="472"/>
      <c r="T259" s="144"/>
    </row>
    <row r="260" spans="1:24" ht="15.75" thickBot="1" x14ac:dyDescent="0.3">
      <c r="A260" s="29"/>
      <c r="B260" s="76">
        <v>2019</v>
      </c>
      <c r="C260" s="631"/>
      <c r="D260" s="472"/>
      <c r="E260" s="652"/>
      <c r="F260" s="472"/>
      <c r="G260" s="472"/>
      <c r="H260" s="472"/>
      <c r="I260" s="472"/>
      <c r="J260" s="143"/>
      <c r="K260" s="141"/>
      <c r="L260" s="141"/>
      <c r="M260" s="141"/>
      <c r="N260" s="141"/>
      <c r="O260" s="142"/>
      <c r="P260" s="239"/>
      <c r="Q260" s="119"/>
      <c r="R260" s="260"/>
      <c r="S260" s="118"/>
      <c r="T260" s="144"/>
    </row>
    <row r="261" spans="1:24" ht="15.75" thickBot="1" x14ac:dyDescent="0.3">
      <c r="A261" s="29"/>
      <c r="B261" s="319">
        <v>2018</v>
      </c>
      <c r="C261" s="947"/>
      <c r="D261" s="472"/>
      <c r="E261" s="653"/>
      <c r="F261" s="472"/>
      <c r="G261" s="472"/>
      <c r="H261" s="660"/>
      <c r="I261" s="472"/>
      <c r="J261" s="143"/>
      <c r="K261" s="141"/>
      <c r="L261" s="141"/>
      <c r="M261" s="141"/>
      <c r="N261" s="141"/>
      <c r="O261" s="142"/>
      <c r="P261" s="239"/>
      <c r="Q261" s="119"/>
      <c r="R261" s="260"/>
      <c r="S261" s="118"/>
      <c r="T261" s="144"/>
      <c r="X261" s="1"/>
    </row>
    <row r="262" spans="1:24" x14ac:dyDescent="0.25">
      <c r="A262" s="29"/>
      <c r="B262" s="80">
        <v>2017</v>
      </c>
      <c r="C262" s="201"/>
      <c r="D262" s="909"/>
      <c r="E262" s="131"/>
      <c r="F262" s="918"/>
      <c r="G262" s="909"/>
      <c r="H262" s="131"/>
      <c r="I262" s="924"/>
      <c r="J262" s="923"/>
      <c r="K262" s="147"/>
      <c r="L262" s="147"/>
      <c r="M262" s="147"/>
      <c r="N262" s="147"/>
      <c r="O262" s="148"/>
      <c r="P262" s="240"/>
      <c r="Q262" s="156"/>
      <c r="R262" s="250"/>
      <c r="S262" s="123"/>
      <c r="T262" s="149"/>
      <c r="X262" s="1"/>
    </row>
    <row r="263" spans="1:24" x14ac:dyDescent="0.25">
      <c r="A263" s="32" t="s">
        <v>33</v>
      </c>
      <c r="B263" s="76">
        <v>2016</v>
      </c>
      <c r="C263" s="76"/>
      <c r="D263" s="1473">
        <v>2491</v>
      </c>
      <c r="E263" s="555">
        <f>+$AF$176</f>
        <v>1667.6666666666667</v>
      </c>
      <c r="F263" s="593">
        <f>+D263*E263</f>
        <v>4154157.666666667</v>
      </c>
      <c r="G263" s="599"/>
      <c r="H263" s="560">
        <f>+$AF$196</f>
        <v>22.529166666666669</v>
      </c>
      <c r="I263" s="563">
        <f>+G263*H263</f>
        <v>0</v>
      </c>
      <c r="J263" s="551"/>
      <c r="K263" s="10"/>
      <c r="L263" s="10"/>
      <c r="M263" s="10"/>
      <c r="N263" s="10"/>
      <c r="O263" s="56"/>
      <c r="P263" s="212">
        <v>599121</v>
      </c>
      <c r="Q263" s="91">
        <f>+S263/P263</f>
        <v>9.9996494864977199E-3</v>
      </c>
      <c r="R263" s="256">
        <f>+F263+I263</f>
        <v>4154157.666666667</v>
      </c>
      <c r="S263" s="212">
        <v>5991</v>
      </c>
      <c r="T263" s="94">
        <f>+S263/R263</f>
        <v>1.4421696239582625E-3</v>
      </c>
    </row>
    <row r="264" spans="1:24" x14ac:dyDescent="0.25">
      <c r="A264" s="104" t="s">
        <v>43</v>
      </c>
      <c r="B264" s="76">
        <v>2015</v>
      </c>
      <c r="C264" s="948"/>
      <c r="D264" s="587">
        <v>9283</v>
      </c>
      <c r="E264" s="555">
        <f>+$AE$176</f>
        <v>1474.75</v>
      </c>
      <c r="F264" s="593">
        <f>+D264*E264</f>
        <v>13690104.25</v>
      </c>
      <c r="G264" s="599"/>
      <c r="H264" s="560">
        <f>+$AE$196</f>
        <v>19.943333333333332</v>
      </c>
      <c r="I264" s="563">
        <f>+G264*H264</f>
        <v>0</v>
      </c>
      <c r="J264" s="551"/>
      <c r="K264" s="10"/>
      <c r="L264" s="10"/>
      <c r="M264" s="10"/>
      <c r="N264" s="10"/>
      <c r="O264" s="56"/>
      <c r="P264" s="212">
        <v>6583808</v>
      </c>
      <c r="Q264" s="91">
        <f>+S264/P264</f>
        <v>1.1468590821603546E-2</v>
      </c>
      <c r="R264" s="256">
        <f>+F264+I264</f>
        <v>13690104.25</v>
      </c>
      <c r="S264" s="212">
        <v>75507</v>
      </c>
      <c r="T264" s="94">
        <f>+S264/R264</f>
        <v>5.5154437556602246E-3</v>
      </c>
    </row>
    <row r="265" spans="1:24" ht="15.75" thickBot="1" x14ac:dyDescent="0.3">
      <c r="A265" s="208"/>
      <c r="B265" s="77">
        <v>2014</v>
      </c>
      <c r="C265" s="77"/>
      <c r="D265" s="588">
        <v>20753</v>
      </c>
      <c r="E265" s="556">
        <f>+$AD$176</f>
        <v>1392.9166666666667</v>
      </c>
      <c r="F265" s="595">
        <f>+D265*E265</f>
        <v>28907199.583333336</v>
      </c>
      <c r="G265" s="601"/>
      <c r="H265" s="561">
        <f>+$AD$196</f>
        <v>20.659166666666664</v>
      </c>
      <c r="I265" s="564">
        <f>+G265*H265</f>
        <v>0</v>
      </c>
      <c r="J265" s="552"/>
      <c r="K265" s="25"/>
      <c r="L265" s="25"/>
      <c r="M265" s="25"/>
      <c r="N265" s="25"/>
      <c r="O265" s="57"/>
      <c r="P265" s="213">
        <v>18065280</v>
      </c>
      <c r="Q265" s="92">
        <f>+S265/P265</f>
        <v>1.0000011070960428E-2</v>
      </c>
      <c r="R265" s="257">
        <f>+F265+I265</f>
        <v>28907199.583333336</v>
      </c>
      <c r="S265" s="213">
        <v>180653</v>
      </c>
      <c r="T265" s="95">
        <f>+S265/R265</f>
        <v>6.2494120012980036E-3</v>
      </c>
    </row>
    <row r="266" spans="1:24" ht="15.75" thickBot="1" x14ac:dyDescent="0.3">
      <c r="P266" s="333">
        <f>SUM(P263:P265)</f>
        <v>25248209</v>
      </c>
      <c r="R266" s="229"/>
      <c r="S266" s="333">
        <f>SUM(S263:S265)</f>
        <v>262151</v>
      </c>
    </row>
    <row r="267" spans="1:24" ht="15.75" thickBot="1" x14ac:dyDescent="0.3">
      <c r="A267" s="1411" t="s">
        <v>34</v>
      </c>
      <c r="B267" s="79"/>
      <c r="C267" s="72" t="s">
        <v>35</v>
      </c>
      <c r="D267" s="48" t="s">
        <v>5</v>
      </c>
      <c r="E267" s="48" t="s">
        <v>1</v>
      </c>
      <c r="F267" s="48" t="s">
        <v>3</v>
      </c>
      <c r="G267" s="49" t="s">
        <v>21</v>
      </c>
      <c r="H267" s="1131" t="s">
        <v>175</v>
      </c>
      <c r="I267" s="73" t="s">
        <v>4</v>
      </c>
      <c r="J267" s="71"/>
      <c r="K267" s="50"/>
      <c r="L267" s="50"/>
      <c r="M267" s="50"/>
      <c r="N267" s="50"/>
      <c r="O267" s="69"/>
      <c r="P267" s="241" t="s">
        <v>40</v>
      </c>
      <c r="Q267" s="51" t="s">
        <v>41</v>
      </c>
      <c r="R267" s="259" t="s">
        <v>113</v>
      </c>
      <c r="S267" s="103" t="s">
        <v>2</v>
      </c>
      <c r="T267" s="98" t="s">
        <v>42</v>
      </c>
    </row>
    <row r="268" spans="1:24" x14ac:dyDescent="0.25">
      <c r="A268" s="31"/>
      <c r="B268" s="80">
        <v>2023</v>
      </c>
      <c r="C268" s="1021"/>
      <c r="D268" s="1396">
        <v>1372</v>
      </c>
      <c r="E268" s="553">
        <f>+$AM$176</f>
        <v>2622.3766666666666</v>
      </c>
      <c r="F268" s="949">
        <f>+D268*E268</f>
        <v>3597900.7866666666</v>
      </c>
      <c r="G268" s="1396"/>
      <c r="H268" s="1396"/>
      <c r="I268" s="1396"/>
      <c r="J268" s="207"/>
      <c r="K268" s="207"/>
      <c r="L268" s="207"/>
      <c r="M268" s="207"/>
      <c r="N268" s="207"/>
      <c r="O268" s="207"/>
      <c r="P268" s="1397">
        <v>1802485</v>
      </c>
      <c r="Q268" s="359">
        <f>+S268/P268</f>
        <v>1.0000083218445645E-2</v>
      </c>
      <c r="R268" s="1398">
        <f>+F268+I268</f>
        <v>3597900.7866666666</v>
      </c>
      <c r="S268" s="1399">
        <v>18025</v>
      </c>
      <c r="T268" s="97">
        <f>+S268/R268</f>
        <v>5.0098657713959788E-3</v>
      </c>
    </row>
    <row r="269" spans="1:24" x14ac:dyDescent="0.25">
      <c r="A269" s="31"/>
      <c r="B269" s="76">
        <v>2022</v>
      </c>
      <c r="C269" s="681"/>
      <c r="D269" s="479"/>
      <c r="E269" s="479"/>
      <c r="F269" s="479"/>
      <c r="G269" s="479"/>
      <c r="H269" s="479"/>
      <c r="I269" s="479"/>
      <c r="J269" s="479"/>
      <c r="K269" s="479"/>
      <c r="L269" s="479"/>
      <c r="M269" s="479"/>
      <c r="N269" s="479"/>
      <c r="O269" s="479"/>
      <c r="P269" s="480"/>
      <c r="Q269" s="479"/>
      <c r="R269" s="480"/>
      <c r="S269" s="479"/>
      <c r="T269" s="479"/>
    </row>
    <row r="270" spans="1:24" x14ac:dyDescent="0.25">
      <c r="A270" s="31"/>
      <c r="B270" s="80">
        <v>2021</v>
      </c>
      <c r="C270" s="681"/>
      <c r="D270" s="479"/>
      <c r="E270" s="479"/>
      <c r="F270" s="479"/>
      <c r="G270" s="479"/>
      <c r="H270" s="479"/>
      <c r="I270" s="479"/>
      <c r="J270" s="479"/>
      <c r="K270" s="479"/>
      <c r="L270" s="479"/>
      <c r="M270" s="479"/>
      <c r="N270" s="479"/>
      <c r="O270" s="479"/>
      <c r="P270" s="480"/>
      <c r="Q270" s="479"/>
      <c r="R270" s="480"/>
      <c r="S270" s="479"/>
      <c r="T270" s="479"/>
    </row>
    <row r="271" spans="1:24" ht="15.75" thickBot="1" x14ac:dyDescent="0.3">
      <c r="A271" s="31"/>
      <c r="B271" s="76">
        <v>2020</v>
      </c>
      <c r="C271" s="372"/>
      <c r="D271" s="472"/>
      <c r="E271" s="472"/>
      <c r="F271" s="470"/>
      <c r="G271" s="472"/>
      <c r="H271" s="472"/>
      <c r="I271" s="472"/>
      <c r="J271" s="143"/>
      <c r="K271" s="141"/>
      <c r="L271" s="141"/>
      <c r="M271" s="141"/>
      <c r="N271" s="141"/>
      <c r="O271" s="142"/>
      <c r="P271" s="488"/>
      <c r="Q271" s="144"/>
      <c r="R271" s="471"/>
      <c r="S271" s="470"/>
      <c r="T271" s="144"/>
    </row>
    <row r="272" spans="1:24" ht="15.75" thickBot="1" x14ac:dyDescent="0.3">
      <c r="A272" s="29"/>
      <c r="B272" s="319">
        <v>2019</v>
      </c>
      <c r="C272" s="623"/>
      <c r="D272" s="587">
        <v>78816</v>
      </c>
      <c r="E272" s="553">
        <f>+$AI$176</f>
        <v>1840.5</v>
      </c>
      <c r="F272" s="896">
        <f>+D272*E272</f>
        <v>145060848</v>
      </c>
      <c r="G272" s="643">
        <v>10796</v>
      </c>
      <c r="H272" s="559">
        <f>+AI$196</f>
        <v>21.444166666666664</v>
      </c>
      <c r="I272" s="563">
        <f>+G272*H272</f>
        <v>231511.2233333333</v>
      </c>
      <c r="J272" s="551"/>
      <c r="K272" s="10"/>
      <c r="L272" s="10"/>
      <c r="M272" s="10"/>
      <c r="N272" s="10"/>
      <c r="O272" s="10"/>
      <c r="P272" s="358">
        <v>13491</v>
      </c>
      <c r="Q272" s="90">
        <f>+S272/P272</f>
        <v>1.0006671114076051E-2</v>
      </c>
      <c r="R272" s="332">
        <f>+F272+I272</f>
        <v>145292359.22333333</v>
      </c>
      <c r="S272" s="232">
        <v>135</v>
      </c>
      <c r="T272" s="324">
        <f>+S272/R272</f>
        <v>9.2916104275302855E-7</v>
      </c>
    </row>
    <row r="273" spans="1:20" ht="15.75" thickBot="1" x14ac:dyDescent="0.3">
      <c r="A273" s="29"/>
      <c r="B273" s="319">
        <v>2018</v>
      </c>
      <c r="C273" s="107"/>
      <c r="D273" s="646">
        <v>20134.765714000001</v>
      </c>
      <c r="E273" s="554">
        <f>+$AH$176</f>
        <v>1640.75</v>
      </c>
      <c r="F273" s="949">
        <f>+D273*E273</f>
        <v>33036116.845245503</v>
      </c>
      <c r="G273" s="1323">
        <v>1836.37</v>
      </c>
      <c r="H273" s="559">
        <f>+$AH$196</f>
        <v>20.309166666666666</v>
      </c>
      <c r="I273" s="604">
        <f>+G273*H273</f>
        <v>37295.144391666661</v>
      </c>
      <c r="J273" s="318"/>
      <c r="K273" s="317"/>
      <c r="L273" s="317"/>
      <c r="M273" s="317"/>
      <c r="N273" s="317"/>
      <c r="O273" s="317"/>
      <c r="P273" s="356">
        <v>20141925</v>
      </c>
      <c r="Q273" s="90">
        <f>+S273/P273</f>
        <v>9.9999875880781002E-3</v>
      </c>
      <c r="R273" s="248">
        <f>+F273+I273</f>
        <v>33073411.98963717</v>
      </c>
      <c r="S273" s="222">
        <v>201419</v>
      </c>
      <c r="T273" s="97">
        <f>+S273/R273</f>
        <v>6.0900580823989442E-3</v>
      </c>
    </row>
    <row r="274" spans="1:20" x14ac:dyDescent="0.25">
      <c r="A274" s="31" t="s">
        <v>34</v>
      </c>
      <c r="B274" s="76">
        <v>2017</v>
      </c>
      <c r="C274" s="284"/>
      <c r="D274" s="587">
        <v>36620</v>
      </c>
      <c r="E274" s="555">
        <f>+$AG$176</f>
        <v>1628.9166666666667</v>
      </c>
      <c r="F274" s="949">
        <f>+D274*E274</f>
        <v>59650928.333333336</v>
      </c>
      <c r="G274" s="599"/>
      <c r="H274" s="560">
        <f>+$AG$196</f>
        <v>22.250833333333333</v>
      </c>
      <c r="I274" s="563">
        <f>+G274*H274</f>
        <v>0</v>
      </c>
      <c r="J274" s="551"/>
      <c r="K274" s="10"/>
      <c r="L274" s="10"/>
      <c r="M274" s="10"/>
      <c r="N274" s="10"/>
      <c r="O274" s="10"/>
      <c r="P274" s="357">
        <v>46215087</v>
      </c>
      <c r="Q274" s="90">
        <f>+S274/P274</f>
        <v>1.0000002812934226E-2</v>
      </c>
      <c r="R274" s="255">
        <f>+F274+I274</f>
        <v>59650928.333333336</v>
      </c>
      <c r="S274" s="220">
        <v>462151</v>
      </c>
      <c r="T274" s="97">
        <f>+S274/R274</f>
        <v>7.7475910754895485E-3</v>
      </c>
    </row>
    <row r="275" spans="1:20" x14ac:dyDescent="0.25">
      <c r="A275" s="31"/>
      <c r="B275" s="76">
        <v>2016</v>
      </c>
      <c r="C275" s="284"/>
      <c r="D275" s="1473">
        <v>33890</v>
      </c>
      <c r="E275" s="555">
        <f>+$AF$176</f>
        <v>1667.6666666666667</v>
      </c>
      <c r="F275" s="896">
        <f>+D275*E275</f>
        <v>56517223.333333336</v>
      </c>
      <c r="G275" s="599"/>
      <c r="H275" s="560">
        <f>+$AF$196</f>
        <v>22.529166666666669</v>
      </c>
      <c r="I275" s="563">
        <f>+G275*H275</f>
        <v>0</v>
      </c>
      <c r="J275" s="551"/>
      <c r="K275" s="10"/>
      <c r="L275" s="10"/>
      <c r="M275" s="10"/>
      <c r="N275" s="10"/>
      <c r="O275" s="56"/>
      <c r="P275" s="212">
        <v>33826830</v>
      </c>
      <c r="Q275" s="91">
        <f>+S275/P275</f>
        <v>9.9999911313002135E-3</v>
      </c>
      <c r="R275" s="256">
        <f>+F275+I275</f>
        <v>56517223.333333336</v>
      </c>
      <c r="S275" s="212">
        <v>338268</v>
      </c>
      <c r="T275" s="94">
        <f>+S275/R275</f>
        <v>5.9852197268242769E-3</v>
      </c>
    </row>
    <row r="276" spans="1:20" ht="15.75" thickBot="1" x14ac:dyDescent="0.3">
      <c r="A276" s="29" t="s">
        <v>56</v>
      </c>
      <c r="B276" s="76">
        <v>2015</v>
      </c>
      <c r="C276" s="1"/>
      <c r="D276" s="587">
        <v>41242</v>
      </c>
      <c r="E276" s="555">
        <f>+$AE$176</f>
        <v>1474.75</v>
      </c>
      <c r="F276" s="950">
        <f>+D276*E276</f>
        <v>60821639.5</v>
      </c>
      <c r="G276" s="599"/>
      <c r="H276" s="560">
        <f>+$AE$196</f>
        <v>19.943333333333332</v>
      </c>
      <c r="I276" s="563">
        <f>+G276*H276</f>
        <v>0</v>
      </c>
      <c r="J276" s="551"/>
      <c r="K276" s="10"/>
      <c r="L276" s="10"/>
      <c r="M276" s="10"/>
      <c r="N276" s="10"/>
      <c r="O276" s="56"/>
      <c r="P276" s="212">
        <v>35749007</v>
      </c>
      <c r="Q276" s="91">
        <f>+S276/P276</f>
        <v>9.9999980419036537E-3</v>
      </c>
      <c r="R276" s="256">
        <f>+F276+I276</f>
        <v>60821639.5</v>
      </c>
      <c r="S276" s="212">
        <v>357490</v>
      </c>
      <c r="T276" s="94">
        <f>+S276/R276</f>
        <v>5.8776777959101221E-3</v>
      </c>
    </row>
    <row r="277" spans="1:20" ht="15.75" thickBot="1" x14ac:dyDescent="0.3">
      <c r="A277" s="106" t="s">
        <v>51</v>
      </c>
      <c r="B277" s="77">
        <v>2014</v>
      </c>
      <c r="C277" s="285"/>
      <c r="D277" s="648"/>
      <c r="E277" s="134"/>
      <c r="F277" s="951"/>
      <c r="G277" s="648"/>
      <c r="H277" s="134"/>
      <c r="I277" s="657"/>
      <c r="J277" s="650"/>
      <c r="K277" s="165"/>
      <c r="L277" s="165"/>
      <c r="M277" s="165"/>
      <c r="N277" s="165"/>
      <c r="O277" s="166"/>
      <c r="P277" s="223"/>
      <c r="Q277" s="168"/>
      <c r="R277" s="252"/>
      <c r="S277" s="223"/>
      <c r="T277" s="135"/>
    </row>
    <row r="278" spans="1:20" ht="15.75" thickBot="1" x14ac:dyDescent="0.3">
      <c r="P278" s="269">
        <f>SUM(P272:P277)</f>
        <v>135946340</v>
      </c>
      <c r="R278" s="229"/>
      <c r="S278" s="269">
        <f>SUM(S272:S277)</f>
        <v>1359463</v>
      </c>
    </row>
    <row r="279" spans="1:20" ht="15.75" thickBot="1" x14ac:dyDescent="0.3">
      <c r="A279" s="28"/>
      <c r="B279" s="1406"/>
      <c r="C279" s="327" t="s">
        <v>37</v>
      </c>
      <c r="D279" s="424" t="s">
        <v>5</v>
      </c>
      <c r="E279" s="42" t="s">
        <v>1</v>
      </c>
      <c r="F279" s="42" t="s">
        <v>3</v>
      </c>
      <c r="G279" s="43" t="s">
        <v>21</v>
      </c>
      <c r="H279" s="842" t="s">
        <v>175</v>
      </c>
      <c r="I279" s="313" t="s">
        <v>4</v>
      </c>
      <c r="J279" s="74"/>
      <c r="K279" s="45"/>
      <c r="L279" s="45"/>
      <c r="M279" s="45"/>
      <c r="N279" s="45"/>
      <c r="O279" s="58"/>
      <c r="P279" s="241" t="s">
        <v>40</v>
      </c>
      <c r="Q279" s="86" t="s">
        <v>41</v>
      </c>
      <c r="R279" s="261" t="s">
        <v>113</v>
      </c>
      <c r="S279" s="224" t="s">
        <v>2</v>
      </c>
      <c r="T279" s="99" t="s">
        <v>42</v>
      </c>
    </row>
    <row r="280" spans="1:20" ht="15.75" thickBot="1" x14ac:dyDescent="0.3">
      <c r="A280" s="13"/>
      <c r="B280" s="76">
        <v>2023</v>
      </c>
      <c r="C280" s="1389"/>
      <c r="D280" s="486"/>
      <c r="E280" s="486"/>
      <c r="F280" s="486"/>
      <c r="G280" s="486"/>
      <c r="H280" s="486"/>
      <c r="I280" s="119"/>
      <c r="J280" s="143"/>
      <c r="K280" s="141"/>
      <c r="L280" s="141"/>
      <c r="M280" s="141"/>
      <c r="N280" s="141"/>
      <c r="O280" s="142"/>
      <c r="P280" s="488"/>
      <c r="Q280" s="472"/>
      <c r="R280" s="471"/>
      <c r="S280" s="469"/>
      <c r="T280" s="144"/>
    </row>
    <row r="281" spans="1:20" ht="15.75" thickBot="1" x14ac:dyDescent="0.3">
      <c r="A281" s="13"/>
      <c r="B281" s="76">
        <v>2022</v>
      </c>
      <c r="C281" s="1389"/>
      <c r="D281" s="486"/>
      <c r="E281" s="486"/>
      <c r="F281" s="486"/>
      <c r="G281" s="486"/>
      <c r="H281" s="486"/>
      <c r="I281" s="119"/>
      <c r="J281" s="143"/>
      <c r="K281" s="141"/>
      <c r="L281" s="141"/>
      <c r="M281" s="141"/>
      <c r="N281" s="141"/>
      <c r="O281" s="142"/>
      <c r="P281" s="488"/>
      <c r="Q281" s="472"/>
      <c r="R281" s="471"/>
      <c r="S281" s="469"/>
      <c r="T281" s="144"/>
    </row>
    <row r="282" spans="1:20" ht="15.75" thickBot="1" x14ac:dyDescent="0.3">
      <c r="A282" s="13"/>
      <c r="B282" s="76">
        <v>2021</v>
      </c>
      <c r="C282" s="1389"/>
      <c r="D282" s="486"/>
      <c r="E282" s="486"/>
      <c r="F282" s="486"/>
      <c r="G282" s="486"/>
      <c r="H282" s="486"/>
      <c r="I282" s="119"/>
      <c r="J282" s="143"/>
      <c r="K282" s="141"/>
      <c r="L282" s="141"/>
      <c r="M282" s="141"/>
      <c r="N282" s="141"/>
      <c r="O282" s="142"/>
      <c r="P282" s="488"/>
      <c r="Q282" s="472"/>
      <c r="R282" s="471"/>
      <c r="S282" s="469"/>
      <c r="T282" s="144"/>
    </row>
    <row r="283" spans="1:20" x14ac:dyDescent="0.25">
      <c r="A283" s="13"/>
      <c r="B283" s="80">
        <v>2020</v>
      </c>
      <c r="C283" s="1392"/>
      <c r="D283" s="118"/>
      <c r="E283" s="118"/>
      <c r="F283" s="118"/>
      <c r="G283" s="118"/>
      <c r="H283" s="118"/>
      <c r="I283" s="118"/>
      <c r="J283" s="143"/>
      <c r="K283" s="141"/>
      <c r="L283" s="141"/>
      <c r="M283" s="141"/>
      <c r="N283" s="141"/>
      <c r="O283" s="142"/>
      <c r="P283" s="488"/>
      <c r="Q283" s="472"/>
      <c r="R283" s="471"/>
      <c r="S283" s="469"/>
      <c r="T283" s="144"/>
    </row>
    <row r="284" spans="1:20" x14ac:dyDescent="0.25">
      <c r="A284" s="13"/>
      <c r="B284" s="76">
        <v>2019</v>
      </c>
      <c r="C284" s="1391"/>
      <c r="D284" s="587">
        <v>23920</v>
      </c>
      <c r="E284" s="553">
        <f>+$AI$176</f>
        <v>1840.5</v>
      </c>
      <c r="F284" s="593">
        <f>+D284*E284</f>
        <v>44024760</v>
      </c>
      <c r="G284" s="599">
        <v>3907</v>
      </c>
      <c r="H284" s="559">
        <f>+AI$196</f>
        <v>21.444166666666664</v>
      </c>
      <c r="I284" s="563">
        <f>+G284*H284</f>
        <v>83782.359166666662</v>
      </c>
      <c r="J284" s="551"/>
      <c r="K284" s="10"/>
      <c r="L284" s="10"/>
      <c r="M284" s="10"/>
      <c r="N284" s="10"/>
      <c r="O284" s="282"/>
      <c r="P284" s="220">
        <v>33073459</v>
      </c>
      <c r="Q284" s="359">
        <f>+S284/P284</f>
        <v>1.9206518435220216E-2</v>
      </c>
      <c r="R284" s="264">
        <f>+F284+I284</f>
        <v>44108542.359166667</v>
      </c>
      <c r="S284" s="220">
        <v>635226</v>
      </c>
      <c r="T284" s="360">
        <f>+S284/R284</f>
        <v>1.4401428068683093E-2</v>
      </c>
    </row>
    <row r="285" spans="1:20" ht="15.75" thickBot="1" x14ac:dyDescent="0.3">
      <c r="A285" s="13"/>
      <c r="B285" s="319">
        <v>2018</v>
      </c>
      <c r="C285" s="1390"/>
      <c r="D285" s="633">
        <v>22333</v>
      </c>
      <c r="E285" s="554">
        <f>+$AH$176</f>
        <v>1640.75</v>
      </c>
      <c r="F285" s="607">
        <f>+D285*E285</f>
        <v>36642869.75</v>
      </c>
      <c r="G285" s="638">
        <v>4421</v>
      </c>
      <c r="H285" s="954">
        <f>+$AH$196</f>
        <v>20.309166666666666</v>
      </c>
      <c r="I285" s="563">
        <f>+G285*H285</f>
        <v>89786.825833333336</v>
      </c>
      <c r="J285" s="551"/>
      <c r="K285" s="10"/>
      <c r="L285" s="10"/>
      <c r="M285" s="10"/>
      <c r="N285" s="10"/>
      <c r="O285" s="10"/>
      <c r="P285" s="364">
        <v>26425420</v>
      </c>
      <c r="Q285" s="359">
        <f>+S285/P285</f>
        <v>9.9999924315299429E-3</v>
      </c>
      <c r="R285" s="264">
        <f>+F285+I285</f>
        <v>36732656.575833336</v>
      </c>
      <c r="S285" s="220">
        <v>264254</v>
      </c>
      <c r="T285" s="360">
        <f>+S285/R285</f>
        <v>7.193980088384201E-3</v>
      </c>
    </row>
    <row r="286" spans="1:20" x14ac:dyDescent="0.25">
      <c r="A286" s="13"/>
      <c r="B286" s="76">
        <v>2017</v>
      </c>
      <c r="C286" s="209"/>
      <c r="D286" s="633">
        <v>23331</v>
      </c>
      <c r="E286" s="555">
        <f>+$AG$176</f>
        <v>1628.9166666666667</v>
      </c>
      <c r="F286" s="607">
        <f>+D286*E286</f>
        <v>38004254.75</v>
      </c>
      <c r="G286" s="638">
        <v>4041</v>
      </c>
      <c r="H286" s="560">
        <f>+$AG$196</f>
        <v>22.250833333333333</v>
      </c>
      <c r="I286" s="563">
        <f>+G286*H286</f>
        <v>89915.617499999993</v>
      </c>
      <c r="J286" s="551"/>
      <c r="K286" s="10"/>
      <c r="L286" s="10"/>
      <c r="M286" s="10"/>
      <c r="N286" s="10"/>
      <c r="O286" s="10"/>
      <c r="P286" s="364">
        <v>28911496</v>
      </c>
      <c r="Q286" s="90">
        <f>+S286/P286</f>
        <v>1.0000001383532697E-2</v>
      </c>
      <c r="R286" s="255">
        <f>+F286+I286</f>
        <v>38094170.3675</v>
      </c>
      <c r="S286" s="220">
        <v>289115</v>
      </c>
      <c r="T286" s="100">
        <f>+S286/R286</f>
        <v>7.5894814668718488E-3</v>
      </c>
    </row>
    <row r="287" spans="1:20" x14ac:dyDescent="0.25">
      <c r="A287" s="150" t="s">
        <v>36</v>
      </c>
      <c r="B287" s="76">
        <v>2016</v>
      </c>
      <c r="C287" s="209"/>
      <c r="D287" s="726">
        <v>7136</v>
      </c>
      <c r="E287" s="555">
        <f>+$AF$176</f>
        <v>1667.6666666666667</v>
      </c>
      <c r="F287" s="593">
        <f>+D287*E287</f>
        <v>11900469.333333334</v>
      </c>
      <c r="G287" s="599"/>
      <c r="H287" s="560">
        <f>+$AF$196</f>
        <v>22.529166666666669</v>
      </c>
      <c r="I287" s="953">
        <f>+G287*H287</f>
        <v>0</v>
      </c>
      <c r="J287" s="662"/>
      <c r="K287" s="9"/>
      <c r="L287" s="9"/>
      <c r="M287" s="9"/>
      <c r="N287" s="9"/>
      <c r="O287" s="59"/>
      <c r="P287" s="212">
        <v>8143181</v>
      </c>
      <c r="Q287" s="91">
        <f>+S287/P287</f>
        <v>1.0000023332405359E-2</v>
      </c>
      <c r="R287" s="263">
        <f>+F287+I287</f>
        <v>11900469.333333334</v>
      </c>
      <c r="S287" s="225">
        <v>81432</v>
      </c>
      <c r="T287" s="101">
        <f>+S287/R287</f>
        <v>6.8427553333470763E-3</v>
      </c>
    </row>
    <row r="288" spans="1:20" x14ac:dyDescent="0.25">
      <c r="A288" s="13" t="s">
        <v>52</v>
      </c>
      <c r="B288" s="76">
        <v>2015</v>
      </c>
      <c r="C288" s="209"/>
      <c r="D288" s="478"/>
      <c r="E288" s="131">
        <f>+$AE$176</f>
        <v>1474.75</v>
      </c>
      <c r="F288" s="656"/>
      <c r="G288" s="478"/>
      <c r="H288" s="131"/>
      <c r="I288" s="656"/>
      <c r="J288" s="649"/>
      <c r="K288" s="129"/>
      <c r="L288" s="129"/>
      <c r="M288" s="129"/>
      <c r="N288" s="129"/>
      <c r="O288" s="130"/>
      <c r="P288" s="221"/>
      <c r="Q288" s="146"/>
      <c r="R288" s="251"/>
      <c r="S288" s="226"/>
      <c r="T288" s="163"/>
    </row>
    <row r="289" spans="1:24" ht="15.75" thickBot="1" x14ac:dyDescent="0.3">
      <c r="A289" s="18" t="s">
        <v>53</v>
      </c>
      <c r="B289" s="77">
        <v>2014</v>
      </c>
      <c r="C289" s="210"/>
      <c r="D289" s="648"/>
      <c r="E289" s="134">
        <f>+$AD$176</f>
        <v>1392.9166666666667</v>
      </c>
      <c r="F289" s="657"/>
      <c r="G289" s="648"/>
      <c r="H289" s="134"/>
      <c r="I289" s="657"/>
      <c r="J289" s="650"/>
      <c r="K289" s="165"/>
      <c r="L289" s="165"/>
      <c r="M289" s="165"/>
      <c r="N289" s="165"/>
      <c r="O289" s="166"/>
      <c r="P289" s="223"/>
      <c r="Q289" s="168"/>
      <c r="R289" s="252"/>
      <c r="S289" s="223"/>
      <c r="T289" s="167"/>
    </row>
    <row r="290" spans="1:24" ht="15.75" thickBot="1" x14ac:dyDescent="0.3">
      <c r="P290" s="333">
        <f>SUM(P284:P289)</f>
        <v>96553556</v>
      </c>
      <c r="R290" s="229"/>
      <c r="S290" s="333">
        <f>SUM(S284:S289)</f>
        <v>1270027</v>
      </c>
      <c r="X290" s="1"/>
    </row>
    <row r="291" spans="1:24" ht="15.75" thickBot="1" x14ac:dyDescent="0.3">
      <c r="A291" s="28"/>
      <c r="B291" s="666"/>
      <c r="C291" s="670" t="s">
        <v>38</v>
      </c>
      <c r="D291" s="1005" t="s">
        <v>5</v>
      </c>
      <c r="E291" s="1005" t="s">
        <v>1</v>
      </c>
      <c r="F291" s="1005" t="s">
        <v>3</v>
      </c>
      <c r="G291" s="1006" t="s">
        <v>21</v>
      </c>
      <c r="H291" s="1186" t="s">
        <v>175</v>
      </c>
      <c r="I291" s="1006" t="s">
        <v>4</v>
      </c>
      <c r="J291" s="71"/>
      <c r="K291" s="50"/>
      <c r="L291" s="50"/>
      <c r="M291" s="50"/>
      <c r="N291" s="50"/>
      <c r="O291" s="69"/>
      <c r="P291" s="238" t="s">
        <v>40</v>
      </c>
      <c r="Q291" s="1077" t="s">
        <v>41</v>
      </c>
      <c r="R291" s="224" t="s">
        <v>113</v>
      </c>
      <c r="S291" s="224" t="s">
        <v>2</v>
      </c>
      <c r="T291" s="99" t="s">
        <v>42</v>
      </c>
      <c r="X291" s="36"/>
    </row>
    <row r="292" spans="1:24" x14ac:dyDescent="0.25">
      <c r="A292" s="29"/>
      <c r="B292" s="531">
        <v>2023</v>
      </c>
      <c r="C292" s="579"/>
      <c r="D292" s="584">
        <v>3000</v>
      </c>
      <c r="E292" s="589">
        <f>+$AM$176</f>
        <v>2622.3766666666666</v>
      </c>
      <c r="F292" s="607">
        <f t="shared" ref="F292:F299" si="73">+D292*E292</f>
        <v>7867130</v>
      </c>
      <c r="G292" s="659"/>
      <c r="H292" s="1130"/>
      <c r="I292" s="659"/>
      <c r="J292" s="455"/>
      <c r="K292" s="454"/>
      <c r="L292" s="454"/>
      <c r="M292" s="454"/>
      <c r="N292" s="454"/>
      <c r="O292" s="548"/>
      <c r="P292" s="1347">
        <v>2746741</v>
      </c>
      <c r="Q292" s="406">
        <f t="shared" ref="Q292:Q299" si="74">+S292/P292</f>
        <v>9.6121185069870073E-3</v>
      </c>
      <c r="R292" s="264">
        <f t="shared" ref="R292:R299" si="75">+F292+I292</f>
        <v>7867130</v>
      </c>
      <c r="S292" s="1347">
        <v>26402</v>
      </c>
      <c r="T292" s="452">
        <f t="shared" ref="T292:T299" si="76">+S292/R292</f>
        <v>3.3559887786270217E-3</v>
      </c>
      <c r="U292" s="36"/>
      <c r="X292" s="36"/>
    </row>
    <row r="293" spans="1:24" x14ac:dyDescent="0.25">
      <c r="A293" s="29"/>
      <c r="B293" s="531">
        <v>2022</v>
      </c>
      <c r="C293" s="580"/>
      <c r="D293" s="584">
        <v>8785</v>
      </c>
      <c r="E293" s="589">
        <f>+$AL$176</f>
        <v>2341.2400000000002</v>
      </c>
      <c r="F293" s="607">
        <f t="shared" si="73"/>
        <v>20567793.400000002</v>
      </c>
      <c r="G293" s="659"/>
      <c r="H293" s="1130"/>
      <c r="I293" s="659"/>
      <c r="J293" s="1354"/>
      <c r="K293" s="454"/>
      <c r="L293" s="454"/>
      <c r="M293" s="454"/>
      <c r="N293" s="454"/>
      <c r="O293" s="1272"/>
      <c r="P293" s="458">
        <v>13625685</v>
      </c>
      <c r="Q293" s="406">
        <f t="shared" si="74"/>
        <v>1.000001100862085E-2</v>
      </c>
      <c r="R293" s="264">
        <f t="shared" si="75"/>
        <v>20567793.400000002</v>
      </c>
      <c r="S293" s="458">
        <v>136257</v>
      </c>
      <c r="T293" s="452">
        <f t="shared" si="76"/>
        <v>6.6247748287864457E-3</v>
      </c>
      <c r="U293" s="36"/>
      <c r="X293" s="36"/>
    </row>
    <row r="294" spans="1:24" x14ac:dyDescent="0.25">
      <c r="A294" s="29"/>
      <c r="B294" s="531">
        <v>2021</v>
      </c>
      <c r="C294" s="580"/>
      <c r="D294" s="646">
        <v>11700</v>
      </c>
      <c r="E294" s="589">
        <f>+$AK$176</f>
        <v>2256.1483333333331</v>
      </c>
      <c r="F294" s="607">
        <f t="shared" si="73"/>
        <v>26396935.499999996</v>
      </c>
      <c r="G294" s="658"/>
      <c r="H294" s="1125"/>
      <c r="I294" s="659"/>
      <c r="J294" s="111"/>
      <c r="K294" s="112"/>
      <c r="L294" s="112"/>
      <c r="M294" s="112"/>
      <c r="N294" s="112"/>
      <c r="O294" s="456"/>
      <c r="P294" s="520">
        <v>19341793</v>
      </c>
      <c r="Q294" s="408">
        <f t="shared" si="74"/>
        <v>1.0000003619106046E-2</v>
      </c>
      <c r="R294" s="256">
        <f t="shared" si="75"/>
        <v>26396935.499999996</v>
      </c>
      <c r="S294" s="463">
        <v>193418</v>
      </c>
      <c r="T294" s="94">
        <f t="shared" si="76"/>
        <v>7.3272899424253251E-3</v>
      </c>
      <c r="U294" s="36"/>
      <c r="X294" s="36"/>
    </row>
    <row r="295" spans="1:24" x14ac:dyDescent="0.25">
      <c r="A295" s="29"/>
      <c r="B295" s="16">
        <v>2020</v>
      </c>
      <c r="C295" s="678"/>
      <c r="D295" s="685">
        <v>11640</v>
      </c>
      <c r="E295" s="651">
        <f>+$AJ$176</f>
        <v>2372.0100000000002</v>
      </c>
      <c r="F295" s="593">
        <f t="shared" si="73"/>
        <v>27610196.400000002</v>
      </c>
      <c r="G295" s="637"/>
      <c r="H295" s="1126"/>
      <c r="I295" s="637"/>
      <c r="J295" s="681"/>
      <c r="K295" s="371"/>
      <c r="L295" s="371"/>
      <c r="M295" s="371"/>
      <c r="N295" s="371"/>
      <c r="O295" s="519"/>
      <c r="P295" s="520">
        <v>15613817</v>
      </c>
      <c r="Q295" s="408">
        <f t="shared" si="74"/>
        <v>1.0775456123252886E-2</v>
      </c>
      <c r="R295" s="256">
        <f t="shared" si="75"/>
        <v>27610196.400000002</v>
      </c>
      <c r="S295" s="520">
        <v>168246</v>
      </c>
      <c r="T295" s="94">
        <f t="shared" si="76"/>
        <v>6.0936183706393329E-3</v>
      </c>
      <c r="U295" s="36"/>
      <c r="X295" s="36"/>
    </row>
    <row r="296" spans="1:24" x14ac:dyDescent="0.25">
      <c r="A296" s="29"/>
      <c r="B296" s="209">
        <v>2019</v>
      </c>
      <c r="C296" s="631"/>
      <c r="D296" s="587">
        <v>14322</v>
      </c>
      <c r="E296" s="590">
        <f>+$AI$176</f>
        <v>1840.5</v>
      </c>
      <c r="F296" s="593">
        <f t="shared" si="73"/>
        <v>26359641</v>
      </c>
      <c r="G296" s="599"/>
      <c r="H296" s="1127"/>
      <c r="I296" s="563">
        <f>+G296*H296</f>
        <v>0</v>
      </c>
      <c r="J296" s="551"/>
      <c r="K296" s="10"/>
      <c r="L296" s="10"/>
      <c r="M296" s="10"/>
      <c r="N296" s="10"/>
      <c r="O296" s="56"/>
      <c r="P296" s="212">
        <v>16836758</v>
      </c>
      <c r="Q296" s="408">
        <f t="shared" si="74"/>
        <v>1.0000024945420015E-2</v>
      </c>
      <c r="R296" s="256">
        <f t="shared" si="75"/>
        <v>26359641</v>
      </c>
      <c r="S296" s="212">
        <v>168368</v>
      </c>
      <c r="T296" s="94">
        <f t="shared" si="76"/>
        <v>6.3873404042187071E-3</v>
      </c>
      <c r="U296" s="36"/>
      <c r="X296" s="36"/>
    </row>
    <row r="297" spans="1:24" x14ac:dyDescent="0.25">
      <c r="A297" s="29"/>
      <c r="B297" s="531">
        <v>2018</v>
      </c>
      <c r="C297" s="581"/>
      <c r="D297" s="587">
        <v>15683</v>
      </c>
      <c r="E297" s="679">
        <f>+$AH$176</f>
        <v>1640.75</v>
      </c>
      <c r="F297" s="593">
        <f t="shared" si="73"/>
        <v>25731882.25</v>
      </c>
      <c r="G297" s="599"/>
      <c r="H297" s="1127"/>
      <c r="I297" s="563">
        <f>+G297*H297</f>
        <v>0</v>
      </c>
      <c r="J297" s="551"/>
      <c r="K297" s="10"/>
      <c r="L297" s="10"/>
      <c r="M297" s="10"/>
      <c r="N297" s="10"/>
      <c r="O297" s="56"/>
      <c r="P297" s="212">
        <v>18627976</v>
      </c>
      <c r="Q297" s="408">
        <f t="shared" si="74"/>
        <v>3.1833839596958895E-2</v>
      </c>
      <c r="R297" s="256">
        <f t="shared" si="75"/>
        <v>25731882.25</v>
      </c>
      <c r="S297" s="212">
        <v>593000</v>
      </c>
      <c r="T297" s="94">
        <f t="shared" si="76"/>
        <v>2.3045340960240093E-2</v>
      </c>
      <c r="U297" s="1443"/>
      <c r="X297" s="36"/>
    </row>
    <row r="298" spans="1:24" x14ac:dyDescent="0.25">
      <c r="A298" s="29"/>
      <c r="B298" s="16">
        <v>2017</v>
      </c>
      <c r="C298" s="76"/>
      <c r="D298" s="647">
        <v>13327</v>
      </c>
      <c r="E298" s="680">
        <f>+$AG$176</f>
        <v>1628.9166666666667</v>
      </c>
      <c r="F298" s="607">
        <f t="shared" si="73"/>
        <v>21708572.416666668</v>
      </c>
      <c r="G298" s="638"/>
      <c r="H298" s="1128"/>
      <c r="I298" s="562">
        <f>+G298*H298</f>
        <v>0</v>
      </c>
      <c r="J298" s="570"/>
      <c r="K298" s="328"/>
      <c r="L298" s="328"/>
      <c r="M298" s="328"/>
      <c r="N298" s="328"/>
      <c r="O298" s="68"/>
      <c r="P298" s="220">
        <v>14681397</v>
      </c>
      <c r="Q298" s="406">
        <f t="shared" si="74"/>
        <v>1.0000002043402272E-2</v>
      </c>
      <c r="R298" s="255">
        <f t="shared" si="75"/>
        <v>21708572.416666668</v>
      </c>
      <c r="S298" s="220">
        <v>146814</v>
      </c>
      <c r="T298" s="97">
        <f t="shared" si="76"/>
        <v>6.7629504686952217E-3</v>
      </c>
      <c r="U298" s="36"/>
      <c r="X298" s="36"/>
    </row>
    <row r="299" spans="1:24" ht="15.75" thickBot="1" x14ac:dyDescent="0.3">
      <c r="A299" s="32" t="s">
        <v>39</v>
      </c>
      <c r="B299" s="209">
        <v>2016</v>
      </c>
      <c r="C299" s="76"/>
      <c r="D299" s="587">
        <v>15562</v>
      </c>
      <c r="E299" s="555">
        <f>+$AF$176</f>
        <v>1667.6666666666667</v>
      </c>
      <c r="F299" s="593">
        <f t="shared" si="73"/>
        <v>25952228.666666668</v>
      </c>
      <c r="G299" s="598"/>
      <c r="H299" s="1129"/>
      <c r="I299" s="564">
        <f>+G299*H299</f>
        <v>0</v>
      </c>
      <c r="J299" s="551"/>
      <c r="K299" s="10"/>
      <c r="L299" s="10"/>
      <c r="M299" s="10"/>
      <c r="N299" s="10"/>
      <c r="O299" s="56"/>
      <c r="P299" s="213">
        <v>19888334</v>
      </c>
      <c r="Q299" s="408">
        <f t="shared" si="74"/>
        <v>9.9999829045509803E-3</v>
      </c>
      <c r="R299" s="257">
        <f t="shared" si="75"/>
        <v>25952228.666666668</v>
      </c>
      <c r="S299" s="218">
        <v>198883</v>
      </c>
      <c r="T299" s="94">
        <f t="shared" si="76"/>
        <v>7.6634266195198695E-3</v>
      </c>
      <c r="U299" s="36"/>
      <c r="X299" s="36"/>
    </row>
    <row r="300" spans="1:24" x14ac:dyDescent="0.25">
      <c r="A300" s="29" t="s">
        <v>54</v>
      </c>
      <c r="B300" s="209">
        <v>2015</v>
      </c>
      <c r="C300" s="76"/>
      <c r="D300" s="478"/>
      <c r="E300" s="131"/>
      <c r="F300" s="656"/>
      <c r="G300" s="683"/>
      <c r="H300" s="131"/>
      <c r="I300" s="918"/>
      <c r="J300" s="649"/>
      <c r="K300" s="129"/>
      <c r="L300" s="129"/>
      <c r="M300" s="129"/>
      <c r="N300" s="129"/>
      <c r="O300" s="130"/>
      <c r="P300" s="465"/>
      <c r="Q300" s="146"/>
      <c r="R300" s="516"/>
      <c r="S300" s="226"/>
      <c r="T300" s="133"/>
    </row>
    <row r="301" spans="1:24" ht="15.75" thickBot="1" x14ac:dyDescent="0.3">
      <c r="A301" s="29"/>
      <c r="B301" s="210">
        <v>2014</v>
      </c>
      <c r="C301" s="77"/>
      <c r="D301" s="648"/>
      <c r="E301" s="134"/>
      <c r="F301" s="657"/>
      <c r="G301" s="648"/>
      <c r="H301" s="134"/>
      <c r="I301" s="657"/>
      <c r="J301" s="650"/>
      <c r="K301" s="165"/>
      <c r="L301" s="165"/>
      <c r="M301" s="165"/>
      <c r="N301" s="165"/>
      <c r="O301" s="166"/>
      <c r="P301" s="223"/>
      <c r="Q301" s="168"/>
      <c r="R301" s="252"/>
      <c r="S301" s="223"/>
      <c r="T301" s="135"/>
    </row>
    <row r="302" spans="1:24" ht="15.75" thickBot="1" x14ac:dyDescent="0.3">
      <c r="A302" s="29"/>
      <c r="P302" s="312">
        <f>SUM(P293:P301)</f>
        <v>118615760</v>
      </c>
      <c r="R302" s="229"/>
      <c r="S302" s="312">
        <f>SUM(S293:S301)</f>
        <v>1604986</v>
      </c>
    </row>
    <row r="303" spans="1:24" ht="15.75" thickBot="1" x14ac:dyDescent="0.3">
      <c r="A303" s="29"/>
      <c r="B303" s="666"/>
      <c r="C303" s="579" t="s">
        <v>179</v>
      </c>
      <c r="D303" s="583" t="s">
        <v>5</v>
      </c>
      <c r="E303" s="583" t="s">
        <v>1</v>
      </c>
      <c r="F303" s="1005" t="s">
        <v>3</v>
      </c>
      <c r="G303" s="1006" t="s">
        <v>21</v>
      </c>
      <c r="H303" s="1131" t="s">
        <v>175</v>
      </c>
      <c r="I303" s="1006" t="s">
        <v>4</v>
      </c>
      <c r="J303" s="361"/>
      <c r="K303" s="362"/>
      <c r="L303" s="362"/>
      <c r="M303" s="362"/>
      <c r="N303" s="362"/>
      <c r="O303" s="363"/>
      <c r="P303" s="237" t="s">
        <v>40</v>
      </c>
      <c r="Q303" s="533" t="s">
        <v>41</v>
      </c>
      <c r="R303" s="230" t="s">
        <v>113</v>
      </c>
      <c r="S303" s="230" t="s">
        <v>2</v>
      </c>
      <c r="T303" s="88" t="s">
        <v>42</v>
      </c>
    </row>
    <row r="304" spans="1:24" ht="15.75" thickBot="1" x14ac:dyDescent="0.3">
      <c r="A304" s="29"/>
      <c r="B304" s="531">
        <v>2023</v>
      </c>
      <c r="C304" s="580"/>
      <c r="D304" s="605">
        <v>2600</v>
      </c>
      <c r="E304" s="944">
        <f>+$AL$176</f>
        <v>2341.2400000000002</v>
      </c>
      <c r="F304" s="607">
        <f>+D304*E304</f>
        <v>6087224.0000000009</v>
      </c>
      <c r="G304" s="596"/>
      <c r="H304" s="1474"/>
      <c r="I304" s="596"/>
      <c r="J304" s="455"/>
      <c r="K304" s="454"/>
      <c r="L304" s="454"/>
      <c r="M304" s="454"/>
      <c r="N304" s="454"/>
      <c r="O304" s="548"/>
      <c r="P304" s="1351">
        <v>2733487</v>
      </c>
      <c r="Q304" s="407">
        <f>+S304/P304</f>
        <v>1.0048337526390285E-2</v>
      </c>
      <c r="R304" s="248">
        <f>+F304+I304</f>
        <v>6087224.0000000009</v>
      </c>
      <c r="S304" s="1351">
        <v>27467</v>
      </c>
      <c r="T304" s="504">
        <f>+S304/R304</f>
        <v>4.5122374336807707E-3</v>
      </c>
    </row>
    <row r="305" spans="1:21" ht="15.75" thickBot="1" x14ac:dyDescent="0.3">
      <c r="A305" s="29"/>
      <c r="B305" s="531">
        <v>2022</v>
      </c>
      <c r="C305" s="631"/>
      <c r="D305" s="685">
        <v>1372</v>
      </c>
      <c r="E305" s="944">
        <f>+$AL$176</f>
        <v>2341.2400000000002</v>
      </c>
      <c r="F305" s="607">
        <f>+D305*E305</f>
        <v>3212181.2800000003</v>
      </c>
      <c r="G305" s="659"/>
      <c r="H305" s="1130"/>
      <c r="I305" s="659"/>
      <c r="J305" s="967"/>
      <c r="K305" s="317"/>
      <c r="L305" s="317"/>
      <c r="M305" s="317"/>
      <c r="N305" s="317"/>
      <c r="O305" s="968"/>
      <c r="P305" s="463">
        <v>2146057</v>
      </c>
      <c r="Q305" s="730">
        <f>+S305/P305</f>
        <v>1.000020036746461E-2</v>
      </c>
      <c r="R305" s="264">
        <f>+F305+I305</f>
        <v>3212181.2800000003</v>
      </c>
      <c r="S305" s="458">
        <v>21461</v>
      </c>
      <c r="T305" s="504">
        <f>+S305/R305</f>
        <v>6.6811297773331146E-3</v>
      </c>
    </row>
    <row r="306" spans="1:21" ht="15.75" thickBot="1" x14ac:dyDescent="0.3">
      <c r="A306" s="30"/>
      <c r="B306" s="531">
        <v>2021</v>
      </c>
      <c r="C306" s="976"/>
      <c r="D306" s="694">
        <v>129</v>
      </c>
      <c r="E306" s="695">
        <f>+$AK$176</f>
        <v>2256.1483333333331</v>
      </c>
      <c r="F306" s="903">
        <f>+D306*E306</f>
        <v>291043.13499999995</v>
      </c>
      <c r="G306" s="699"/>
      <c r="H306" s="699"/>
      <c r="I306" s="699"/>
      <c r="J306" s="1133"/>
      <c r="K306" s="1022"/>
      <c r="L306" s="1022"/>
      <c r="M306" s="1022"/>
      <c r="N306" s="1022"/>
      <c r="O306" s="1134"/>
      <c r="P306" s="528">
        <v>410883</v>
      </c>
      <c r="Q306" s="975">
        <f>+S306/P306</f>
        <v>1.0000413743085015E-2</v>
      </c>
      <c r="R306" s="253">
        <f>+F306+I306</f>
        <v>291043.13499999995</v>
      </c>
      <c r="S306" s="1132">
        <v>4109</v>
      </c>
      <c r="T306" s="504">
        <f>+S306/R306</f>
        <v>1.4118182172549787E-2</v>
      </c>
    </row>
    <row r="307" spans="1:21" ht="15.75" thickBot="1" x14ac:dyDescent="0.3">
      <c r="P307" s="1118">
        <f>SUM(P305:P306)</f>
        <v>2556940</v>
      </c>
      <c r="R307" s="229"/>
      <c r="S307" s="1118">
        <f>SUM(S305:S306)</f>
        <v>25570</v>
      </c>
    </row>
    <row r="308" spans="1:21" ht="15.75" thickBot="1" x14ac:dyDescent="0.3">
      <c r="A308" s="78"/>
      <c r="B308" s="75"/>
      <c r="C308" s="1393" t="s">
        <v>207</v>
      </c>
      <c r="D308" s="1028" t="s">
        <v>5</v>
      </c>
      <c r="E308" s="1005" t="s">
        <v>1</v>
      </c>
      <c r="F308" s="1005" t="s">
        <v>3</v>
      </c>
      <c r="G308" s="1006" t="s">
        <v>21</v>
      </c>
      <c r="H308" s="1131" t="s">
        <v>175</v>
      </c>
      <c r="I308" s="1006" t="s">
        <v>4</v>
      </c>
      <c r="J308" s="71"/>
      <c r="K308" s="50"/>
      <c r="L308" s="50"/>
      <c r="M308" s="50"/>
      <c r="N308" s="50"/>
      <c r="O308" s="69"/>
      <c r="P308" s="238" t="s">
        <v>40</v>
      </c>
      <c r="Q308" s="1010" t="s">
        <v>41</v>
      </c>
      <c r="R308" s="261" t="s">
        <v>113</v>
      </c>
      <c r="S308" s="261" t="s">
        <v>2</v>
      </c>
      <c r="T308" s="98" t="s">
        <v>42</v>
      </c>
    </row>
    <row r="309" spans="1:21" x14ac:dyDescent="0.25">
      <c r="A309" s="13"/>
      <c r="B309" s="201">
        <v>2023</v>
      </c>
      <c r="C309" s="1393"/>
      <c r="D309" s="1394">
        <v>176495</v>
      </c>
      <c r="E309" s="589">
        <f>+$AM$176</f>
        <v>2622.3766666666666</v>
      </c>
      <c r="F309" s="607">
        <f t="shared" ref="F309:F315" si="77">+D309*E309</f>
        <v>462836369.7833333</v>
      </c>
      <c r="G309" s="1395">
        <v>72876</v>
      </c>
      <c r="H309" s="879">
        <f>+$AM$196</f>
        <v>31.355833333333337</v>
      </c>
      <c r="I309" s="562">
        <f t="shared" ref="I309:I315" si="78">+G309*H309</f>
        <v>2285087.7100000004</v>
      </c>
      <c r="J309" s="455"/>
      <c r="K309" s="454"/>
      <c r="L309" s="454"/>
      <c r="M309" s="454"/>
      <c r="N309" s="454"/>
      <c r="O309" s="548"/>
      <c r="P309" s="458">
        <f>317197836*AC43</f>
        <v>428121919.24919999</v>
      </c>
      <c r="Q309" s="544">
        <f t="shared" ref="Q309:Q315" si="79">+S309/P309</f>
        <v>6.9391375040780537E-2</v>
      </c>
      <c r="R309" s="1079">
        <f t="shared" ref="R309:R314" si="80">(+F309+I309)*AC43</f>
        <v>627774431.17875183</v>
      </c>
      <c r="S309" s="458">
        <f>22010794*AC43</f>
        <v>29707968.661799997</v>
      </c>
      <c r="T309" s="630">
        <f t="shared" ref="T309:T315" si="81">+S309/R309</f>
        <v>4.7322680227702647E-2</v>
      </c>
      <c r="U309" s="273"/>
    </row>
    <row r="310" spans="1:21" x14ac:dyDescent="0.25">
      <c r="A310" s="13"/>
      <c r="B310" s="76">
        <v>2022</v>
      </c>
      <c r="C310" s="1454"/>
      <c r="D310" s="584">
        <v>173409</v>
      </c>
      <c r="E310" s="589">
        <f>+$AL$176</f>
        <v>2341.2400000000002</v>
      </c>
      <c r="F310" s="607">
        <f t="shared" si="77"/>
        <v>405992087.16000003</v>
      </c>
      <c r="G310" s="956">
        <v>65866</v>
      </c>
      <c r="H310" s="879">
        <f>+$AL$196</f>
        <v>28.558333333333337</v>
      </c>
      <c r="I310" s="562">
        <f t="shared" si="78"/>
        <v>1881023.1833333336</v>
      </c>
      <c r="J310" s="455"/>
      <c r="K310" s="454"/>
      <c r="L310" s="454"/>
      <c r="M310" s="454"/>
      <c r="N310" s="454"/>
      <c r="O310" s="548"/>
      <c r="P310" s="458">
        <f>280628257*AC44</f>
        <v>363245215.86080003</v>
      </c>
      <c r="Q310" s="544">
        <f t="shared" si="79"/>
        <v>5.881931554740049E-2</v>
      </c>
      <c r="R310" s="1079">
        <f t="shared" si="80"/>
        <v>527950954.02841073</v>
      </c>
      <c r="S310" s="610">
        <f>16506362*AC44</f>
        <v>21365834.972800002</v>
      </c>
      <c r="T310" s="575">
        <f t="shared" si="81"/>
        <v>4.0469355741802937E-2</v>
      </c>
      <c r="U310" s="273"/>
    </row>
    <row r="311" spans="1:21" x14ac:dyDescent="0.25">
      <c r="A311" s="13"/>
      <c r="B311" s="76">
        <v>2021</v>
      </c>
      <c r="C311" s="1454"/>
      <c r="D311" s="685">
        <v>151393</v>
      </c>
      <c r="E311" s="589">
        <f>+$AK$176</f>
        <v>2256.1483333333331</v>
      </c>
      <c r="F311" s="607">
        <f t="shared" si="77"/>
        <v>341565064.62833327</v>
      </c>
      <c r="G311" s="597">
        <v>67399</v>
      </c>
      <c r="H311" s="602">
        <f>+$AK$196</f>
        <v>32.092500000000001</v>
      </c>
      <c r="I311" s="562">
        <f t="shared" si="78"/>
        <v>2163002.4075000002</v>
      </c>
      <c r="J311" s="318"/>
      <c r="K311" s="317"/>
      <c r="L311" s="317"/>
      <c r="M311" s="317"/>
      <c r="N311" s="317"/>
      <c r="O311" s="403"/>
      <c r="P311" s="520">
        <f>131733957*AC45</f>
        <v>176085486.97297499</v>
      </c>
      <c r="Q311" s="545">
        <f t="shared" si="79"/>
        <v>6.6664671736840028E-2</v>
      </c>
      <c r="R311" s="615">
        <f t="shared" si="80"/>
        <v>459452714.00512242</v>
      </c>
      <c r="S311" s="614">
        <f>8782001*AC45</f>
        <v>11738681.186674999</v>
      </c>
      <c r="T311" s="575">
        <f t="shared" si="81"/>
        <v>2.5549269443523464E-2</v>
      </c>
      <c r="U311" s="273"/>
    </row>
    <row r="312" spans="1:21" x14ac:dyDescent="0.25">
      <c r="A312" s="33" t="s">
        <v>55</v>
      </c>
      <c r="B312" s="76">
        <v>2020</v>
      </c>
      <c r="C312" s="1455"/>
      <c r="D312" s="584">
        <v>142269</v>
      </c>
      <c r="E312" s="636">
        <f>+$AJ$176</f>
        <v>2372.0100000000002</v>
      </c>
      <c r="F312" s="607">
        <f t="shared" si="77"/>
        <v>337463490.69000006</v>
      </c>
      <c r="G312" s="700">
        <v>54892</v>
      </c>
      <c r="H312" s="603">
        <f>+AJ$196</f>
        <v>25.967500000000001</v>
      </c>
      <c r="I312" s="562">
        <f t="shared" si="78"/>
        <v>1425408.01</v>
      </c>
      <c r="J312" s="455"/>
      <c r="K312" s="454"/>
      <c r="L312" s="454"/>
      <c r="M312" s="454"/>
      <c r="N312" s="454"/>
      <c r="O312" s="548"/>
      <c r="P312" s="520">
        <f>131876918*AC46</f>
        <v>176912885.49699998</v>
      </c>
      <c r="Q312" s="545">
        <f t="shared" si="79"/>
        <v>7.4490882475733933E-2</v>
      </c>
      <c r="R312" s="615">
        <f t="shared" si="80"/>
        <v>454619457.60605001</v>
      </c>
      <c r="S312" s="614">
        <f>9823628*AC46</f>
        <v>13178396.961999999</v>
      </c>
      <c r="T312" s="575">
        <f t="shared" si="81"/>
        <v>2.8987753914879122E-2</v>
      </c>
      <c r="U312" s="273" t="s">
        <v>143</v>
      </c>
    </row>
    <row r="313" spans="1:21" x14ac:dyDescent="0.25">
      <c r="A313" s="105" t="s">
        <v>51</v>
      </c>
      <c r="B313" s="76">
        <v>2019</v>
      </c>
      <c r="C313" s="1454"/>
      <c r="D313" s="587">
        <v>114371</v>
      </c>
      <c r="E313" s="590">
        <f>+$AI$176</f>
        <v>1840.5</v>
      </c>
      <c r="F313" s="593">
        <f t="shared" si="77"/>
        <v>210499825.5</v>
      </c>
      <c r="G313" s="599">
        <v>39720</v>
      </c>
      <c r="H313" s="559">
        <f>+AI$196</f>
        <v>21.444166666666664</v>
      </c>
      <c r="I313" s="563">
        <f t="shared" si="78"/>
        <v>851762.29999999993</v>
      </c>
      <c r="J313" s="551"/>
      <c r="K313" s="10"/>
      <c r="L313" s="10"/>
      <c r="M313" s="10"/>
      <c r="N313" s="10"/>
      <c r="O313" s="56"/>
      <c r="P313" s="235">
        <f>132542277*AC47</f>
        <v>167003269.02000001</v>
      </c>
      <c r="Q313" s="545">
        <f t="shared" si="79"/>
        <v>2.672670245434217E-2</v>
      </c>
      <c r="R313" s="615">
        <f t="shared" si="80"/>
        <v>266303000.62800002</v>
      </c>
      <c r="S313" s="611">
        <f>3542418*AC47</f>
        <v>4463446.68</v>
      </c>
      <c r="T313" s="575">
        <f t="shared" si="81"/>
        <v>1.6760782527700507E-2</v>
      </c>
      <c r="U313" s="273"/>
    </row>
    <row r="314" spans="1:21" x14ac:dyDescent="0.25">
      <c r="A314" s="13"/>
      <c r="B314" s="319">
        <v>2018</v>
      </c>
      <c r="C314" s="1456"/>
      <c r="D314" s="587">
        <v>32022</v>
      </c>
      <c r="E314" s="554">
        <f>+$AH$176</f>
        <v>1640.75</v>
      </c>
      <c r="F314" s="593">
        <f t="shared" si="77"/>
        <v>52540096.5</v>
      </c>
      <c r="G314" s="599">
        <v>10888</v>
      </c>
      <c r="H314" s="559">
        <f>+$AH$196</f>
        <v>20.309166666666666</v>
      </c>
      <c r="I314" s="563">
        <f t="shared" si="78"/>
        <v>221126.20666666667</v>
      </c>
      <c r="J314" s="551"/>
      <c r="K314" s="10"/>
      <c r="L314" s="10"/>
      <c r="M314" s="10"/>
      <c r="N314" s="10"/>
      <c r="O314" s="68"/>
      <c r="P314" s="212">
        <f>31976896*AC48</f>
        <v>41432464.147200003</v>
      </c>
      <c r="Q314" s="545">
        <f t="shared" si="79"/>
        <v>1.0000001250903152E-2</v>
      </c>
      <c r="R314" s="615">
        <f t="shared" si="80"/>
        <v>68362716.261028007</v>
      </c>
      <c r="S314" s="611">
        <f>319769*AC48</f>
        <v>414324.69330000004</v>
      </c>
      <c r="T314" s="575">
        <f t="shared" si="81"/>
        <v>6.0606821372923845E-3</v>
      </c>
      <c r="U314" s="273"/>
    </row>
    <row r="315" spans="1:21" x14ac:dyDescent="0.25">
      <c r="A315" s="13"/>
      <c r="B315" s="80">
        <v>2017</v>
      </c>
      <c r="C315" s="1457"/>
      <c r="D315" s="587">
        <v>7061</v>
      </c>
      <c r="E315" s="555">
        <f>+$AG$176</f>
        <v>1628.9166666666667</v>
      </c>
      <c r="F315" s="593">
        <f t="shared" si="77"/>
        <v>11501780.583333334</v>
      </c>
      <c r="G315" s="599">
        <v>2766</v>
      </c>
      <c r="H315" s="560">
        <f>+$AG$196</f>
        <v>22.250833333333333</v>
      </c>
      <c r="I315" s="563">
        <f t="shared" si="78"/>
        <v>61545.805</v>
      </c>
      <c r="J315" s="551"/>
      <c r="K315" s="10"/>
      <c r="L315" s="10"/>
      <c r="M315" s="10"/>
      <c r="N315" s="10"/>
      <c r="O315" s="68"/>
      <c r="P315" s="212">
        <f>7902987*AC49</f>
        <v>10262818.918199999</v>
      </c>
      <c r="Q315" s="545">
        <f t="shared" si="79"/>
        <v>1.686691373780572E-2</v>
      </c>
      <c r="R315" s="615">
        <f>(+F315+I315)*AC48</f>
        <v>14982602.001363501</v>
      </c>
      <c r="S315" s="611">
        <f>133299*AC49</f>
        <v>173102.0814</v>
      </c>
      <c r="T315" s="575">
        <f t="shared" si="81"/>
        <v>1.1553539324093821E-2</v>
      </c>
      <c r="U315" s="273"/>
    </row>
    <row r="316" spans="1:21" x14ac:dyDescent="0.25">
      <c r="A316" s="955"/>
      <c r="B316" s="76">
        <v>2016</v>
      </c>
      <c r="C316" s="1457"/>
      <c r="D316" s="478"/>
      <c r="E316" s="131"/>
      <c r="F316" s="656"/>
      <c r="G316" s="478"/>
      <c r="H316" s="131"/>
      <c r="I316" s="656"/>
      <c r="J316" s="649"/>
      <c r="K316" s="129"/>
      <c r="L316" s="129"/>
      <c r="M316" s="129"/>
      <c r="N316" s="129"/>
      <c r="O316" s="130"/>
      <c r="P316" s="221"/>
      <c r="Q316" s="702"/>
      <c r="R316" s="476"/>
      <c r="S316" s="705"/>
      <c r="T316" s="163"/>
    </row>
    <row r="317" spans="1:21" x14ac:dyDescent="0.25">
      <c r="A317" s="955"/>
      <c r="B317" s="76">
        <v>2015</v>
      </c>
      <c r="C317" s="209"/>
      <c r="D317" s="478"/>
      <c r="E317" s="131"/>
      <c r="F317" s="656"/>
      <c r="G317" s="478"/>
      <c r="H317" s="131"/>
      <c r="I317" s="656"/>
      <c r="J317" s="649"/>
      <c r="K317" s="129"/>
      <c r="L317" s="129"/>
      <c r="M317" s="129"/>
      <c r="N317" s="129"/>
      <c r="O317" s="130"/>
      <c r="P317" s="221"/>
      <c r="Q317" s="702"/>
      <c r="R317" s="476"/>
      <c r="S317" s="705"/>
      <c r="T317" s="163"/>
    </row>
    <row r="318" spans="1:21" ht="15.75" thickBot="1" x14ac:dyDescent="0.3">
      <c r="A318" s="18"/>
      <c r="B318" s="77">
        <v>2014</v>
      </c>
      <c r="C318" s="1267"/>
      <c r="D318" s="648"/>
      <c r="E318" s="134"/>
      <c r="F318" s="657"/>
      <c r="G318" s="648"/>
      <c r="H318" s="134"/>
      <c r="I318" s="657"/>
      <c r="J318" s="650"/>
      <c r="K318" s="165"/>
      <c r="L318" s="165"/>
      <c r="M318" s="165"/>
      <c r="N318" s="165"/>
      <c r="O318" s="166"/>
      <c r="P318" s="223"/>
      <c r="Q318" s="703"/>
      <c r="R318" s="704"/>
      <c r="S318" s="706"/>
      <c r="T318" s="167"/>
    </row>
    <row r="319" spans="1:21" ht="15.75" thickBot="1" x14ac:dyDescent="0.3">
      <c r="A319" s="35"/>
      <c r="B319" s="14"/>
      <c r="C319" s="14"/>
      <c r="D319" s="37"/>
      <c r="E319" s="38"/>
      <c r="F319" s="39"/>
      <c r="G319" s="37"/>
      <c r="H319" s="38"/>
      <c r="I319" s="39"/>
      <c r="J319" s="39"/>
      <c r="K319" s="39"/>
      <c r="L319" s="39"/>
      <c r="M319" s="39"/>
      <c r="N319" s="39"/>
      <c r="O319" s="39"/>
      <c r="P319" s="514">
        <f>SUM(P310:P318)</f>
        <v>934942140.41617501</v>
      </c>
      <c r="R319" s="229"/>
      <c r="S319" s="514">
        <f>SUM(S310:S318)</f>
        <v>51333786.576174997</v>
      </c>
      <c r="T319" s="40"/>
    </row>
    <row r="320" spans="1:21" ht="15.75" thickBot="1" x14ac:dyDescent="0.3">
      <c r="A320" s="28"/>
      <c r="B320" s="75"/>
      <c r="C320" s="689" t="s">
        <v>180</v>
      </c>
      <c r="D320" s="725" t="s">
        <v>5</v>
      </c>
      <c r="E320" s="725" t="s">
        <v>1</v>
      </c>
      <c r="F320" s="725" t="s">
        <v>3</v>
      </c>
      <c r="G320" s="672" t="s">
        <v>21</v>
      </c>
      <c r="H320" s="842" t="s">
        <v>175</v>
      </c>
      <c r="I320" s="313" t="s">
        <v>4</v>
      </c>
      <c r="J320" s="1081"/>
      <c r="K320" s="1071"/>
      <c r="L320" s="1070"/>
      <c r="M320" s="1071"/>
      <c r="N320" s="1070"/>
      <c r="O320" s="1071"/>
      <c r="P320" s="238" t="s">
        <v>40</v>
      </c>
      <c r="Q320" s="51" t="s">
        <v>41</v>
      </c>
      <c r="R320" s="259" t="s">
        <v>113</v>
      </c>
      <c r="S320" s="1026" t="s">
        <v>2</v>
      </c>
      <c r="T320" s="1027" t="s">
        <v>42</v>
      </c>
    </row>
    <row r="321" spans="1:20" ht="15.75" thickBot="1" x14ac:dyDescent="0.3">
      <c r="A321" s="29"/>
      <c r="B321" s="76">
        <v>2021</v>
      </c>
      <c r="C321" s="689"/>
      <c r="D321" s="959">
        <v>472</v>
      </c>
      <c r="E321" s="944">
        <f>+$AK$176</f>
        <v>2256.1483333333331</v>
      </c>
      <c r="F321" s="945">
        <f>+D321*E321</f>
        <v>1064902.0133333332</v>
      </c>
      <c r="G321" s="714">
        <v>35</v>
      </c>
      <c r="H321" s="960">
        <f>+$AK$196</f>
        <v>32.092500000000001</v>
      </c>
      <c r="I321" s="943">
        <f>+G321*H321</f>
        <v>1123.2375</v>
      </c>
      <c r="J321" s="111"/>
      <c r="K321" s="112"/>
      <c r="L321" s="112"/>
      <c r="M321" s="112"/>
      <c r="N321" s="112"/>
      <c r="O321" s="456"/>
      <c r="P321" s="715">
        <v>111599</v>
      </c>
      <c r="Q321" s="204">
        <f>+S321/P321</f>
        <v>1.0000089606537694E-2</v>
      </c>
      <c r="R321" s="742">
        <f>+F321+I321</f>
        <v>1066025.2508333332</v>
      </c>
      <c r="S321" s="716">
        <v>1116</v>
      </c>
      <c r="T321" s="1080">
        <f>+S321/R321</f>
        <v>1.0468795172793521E-3</v>
      </c>
    </row>
    <row r="322" spans="1:20" ht="15.75" thickBot="1" x14ac:dyDescent="0.3">
      <c r="A322" s="524" t="s">
        <v>174</v>
      </c>
      <c r="B322" s="77">
        <v>2020</v>
      </c>
      <c r="C322" s="708"/>
      <c r="D322" s="710">
        <v>1500</v>
      </c>
      <c r="E322" s="711">
        <f>+$AJ$176</f>
        <v>2372.0100000000002</v>
      </c>
      <c r="F322" s="903">
        <f>+D322*E322</f>
        <v>3558015.0000000005</v>
      </c>
      <c r="G322" s="713"/>
      <c r="H322" s="712"/>
      <c r="I322" s="958">
        <f>+G322*H322</f>
        <v>0</v>
      </c>
      <c r="J322" s="957"/>
      <c r="K322" s="525"/>
      <c r="L322" s="525"/>
      <c r="M322" s="525"/>
      <c r="N322" s="525"/>
      <c r="O322" s="526"/>
      <c r="P322" s="528">
        <v>3662540</v>
      </c>
      <c r="Q322" s="204">
        <f>+S322/P322</f>
        <v>1.0883157590087754E-3</v>
      </c>
      <c r="R322" s="493">
        <f>+F322+I322</f>
        <v>3558015.0000000005</v>
      </c>
      <c r="S322" s="529">
        <v>3986</v>
      </c>
      <c r="T322" s="527">
        <f>+S322/R322</f>
        <v>1.1202875760782346E-3</v>
      </c>
    </row>
    <row r="323" spans="1:20" ht="15.75" thickBot="1" x14ac:dyDescent="0.3">
      <c r="A323" s="35"/>
      <c r="B323" s="14"/>
      <c r="C323" s="14"/>
      <c r="D323" s="37"/>
      <c r="E323" s="38"/>
      <c r="F323" s="39"/>
      <c r="G323" s="37"/>
      <c r="H323" s="38"/>
      <c r="I323" s="39"/>
      <c r="J323" s="39"/>
      <c r="K323" s="39"/>
      <c r="L323" s="39"/>
      <c r="M323" s="39"/>
      <c r="N323" s="39"/>
      <c r="O323" s="39"/>
      <c r="P323" s="312">
        <f>SUM(P321:P322)</f>
        <v>3774139</v>
      </c>
      <c r="R323" s="229"/>
      <c r="S323" s="312">
        <f>SUM(S321:S322)</f>
        <v>5102</v>
      </c>
      <c r="T323" s="40"/>
    </row>
    <row r="324" spans="1:20" ht="15.75" thickBot="1" x14ac:dyDescent="0.3">
      <c r="A324" s="35"/>
      <c r="B324" s="14"/>
      <c r="C324" s="14"/>
      <c r="D324" s="37"/>
      <c r="E324" s="38"/>
      <c r="F324" s="39"/>
      <c r="G324" s="37"/>
      <c r="H324" s="38"/>
      <c r="I324" s="39"/>
      <c r="J324" s="39"/>
      <c r="K324" s="39"/>
      <c r="L324" s="39"/>
      <c r="M324" s="39"/>
      <c r="N324" s="39"/>
      <c r="O324" s="39"/>
      <c r="P324" s="1231"/>
      <c r="R324" s="229"/>
      <c r="S324" s="1231"/>
      <c r="T324" s="40"/>
    </row>
    <row r="325" spans="1:20" ht="15.75" thickBot="1" x14ac:dyDescent="0.3">
      <c r="A325" s="265"/>
      <c r="B325" s="721"/>
      <c r="C325" s="721"/>
      <c r="D325" s="721"/>
      <c r="E325" s="721"/>
      <c r="F325" s="721"/>
      <c r="G325" s="721"/>
      <c r="H325" s="721"/>
      <c r="I325" s="721"/>
      <c r="J325" s="721"/>
      <c r="K325" s="721"/>
      <c r="L325" s="721"/>
      <c r="M325" s="721"/>
      <c r="N325" s="721"/>
      <c r="O325" s="721"/>
      <c r="P325" s="717"/>
      <c r="Q325" s="721"/>
      <c r="R325" s="717"/>
      <c r="S325" s="721"/>
      <c r="T325" s="723"/>
    </row>
    <row r="326" spans="1:20" ht="15.75" thickBot="1" x14ac:dyDescent="0.3">
      <c r="A326" s="175"/>
      <c r="B326" s="79"/>
      <c r="C326" s="1082" t="s">
        <v>59</v>
      </c>
      <c r="D326" s="1005" t="s">
        <v>61</v>
      </c>
      <c r="E326" s="1067" t="s">
        <v>62</v>
      </c>
      <c r="F326" s="1005" t="s">
        <v>3</v>
      </c>
      <c r="G326" s="766"/>
      <c r="H326" s="1068"/>
      <c r="I326" s="766"/>
      <c r="J326" s="1070"/>
      <c r="K326" s="1071"/>
      <c r="L326" s="1070"/>
      <c r="M326" s="1071"/>
      <c r="N326" s="71"/>
      <c r="O326" s="69"/>
      <c r="P326" s="1052" t="s">
        <v>40</v>
      </c>
      <c r="Q326" s="1010" t="s">
        <v>41</v>
      </c>
      <c r="R326" s="261" t="s">
        <v>113</v>
      </c>
      <c r="S326" s="1008" t="s">
        <v>2</v>
      </c>
      <c r="T326" s="98" t="s">
        <v>42</v>
      </c>
    </row>
    <row r="327" spans="1:20" x14ac:dyDescent="0.25">
      <c r="A327" s="175"/>
      <c r="B327" s="319">
        <v>2023</v>
      </c>
      <c r="C327" s="579"/>
      <c r="D327" s="646">
        <v>16042042</v>
      </c>
      <c r="E327" s="1311">
        <f>+$AM$126</f>
        <v>162.91666666666666</v>
      </c>
      <c r="F327" s="593">
        <f t="shared" ref="F327:F336" si="82">+D327*E327</f>
        <v>2613516009.1666665</v>
      </c>
      <c r="G327" s="865"/>
      <c r="H327" s="1058"/>
      <c r="I327" s="865"/>
      <c r="J327" s="569"/>
      <c r="K327" s="550"/>
      <c r="L327" s="569"/>
      <c r="M327" s="550"/>
      <c r="N327" s="569"/>
      <c r="O327" s="569"/>
      <c r="P327" s="978">
        <v>1530416146</v>
      </c>
      <c r="Q327" s="544">
        <f t="shared" ref="Q327:Q336" si="83">+S327/P327</f>
        <v>8.1839242435697623E-2</v>
      </c>
      <c r="R327" s="1079">
        <f t="shared" ref="R327:R336" si="84">+F327+I327</f>
        <v>2613516009.1666665</v>
      </c>
      <c r="S327" s="1321">
        <v>125248098</v>
      </c>
      <c r="T327" s="630">
        <f t="shared" ref="T327:T336" si="85">+S327/R327</f>
        <v>4.7923218208996553E-2</v>
      </c>
    </row>
    <row r="328" spans="1:20" x14ac:dyDescent="0.25">
      <c r="A328" s="175"/>
      <c r="B328" s="319">
        <v>2022</v>
      </c>
      <c r="C328" s="107"/>
      <c r="D328" s="752">
        <v>17687716</v>
      </c>
      <c r="E328" s="753">
        <f>+$AL$126</f>
        <v>157.33333333333334</v>
      </c>
      <c r="F328" s="593">
        <f t="shared" si="82"/>
        <v>2782867317.3333335</v>
      </c>
      <c r="G328" s="987"/>
      <c r="H328" s="274"/>
      <c r="I328" s="987"/>
      <c r="J328" s="1041"/>
      <c r="K328" s="994"/>
      <c r="L328" s="1041"/>
      <c r="M328" s="994"/>
      <c r="N328" s="1314"/>
      <c r="O328" s="1041"/>
      <c r="P328" s="610">
        <v>1864114160</v>
      </c>
      <c r="Q328" s="544">
        <f t="shared" si="83"/>
        <v>0.10350132257994328</v>
      </c>
      <c r="R328" s="1079">
        <f t="shared" si="84"/>
        <v>2782867317.3333335</v>
      </c>
      <c r="S328" s="850">
        <v>192938281</v>
      </c>
      <c r="T328" s="630">
        <f t="shared" si="85"/>
        <v>6.9330750984161901E-2</v>
      </c>
    </row>
    <row r="329" spans="1:20" x14ac:dyDescent="0.25">
      <c r="A329" s="175"/>
      <c r="B329" s="76">
        <v>2021</v>
      </c>
      <c r="C329" s="724"/>
      <c r="D329" s="752">
        <v>15630140</v>
      </c>
      <c r="E329" s="753">
        <f>+$AK$126</f>
        <v>202.41666666666666</v>
      </c>
      <c r="F329" s="593">
        <f t="shared" si="82"/>
        <v>3163800838.333333</v>
      </c>
      <c r="G329" s="678"/>
      <c r="H329" s="982"/>
      <c r="I329" s="678"/>
      <c r="J329" s="999"/>
      <c r="K329" s="989"/>
      <c r="L329" s="999"/>
      <c r="M329" s="989"/>
      <c r="N329" s="1315"/>
      <c r="O329" s="999"/>
      <c r="P329" s="718">
        <v>2402755606</v>
      </c>
      <c r="Q329" s="545">
        <f t="shared" si="83"/>
        <v>0.13957237397035543</v>
      </c>
      <c r="R329" s="615">
        <f t="shared" si="84"/>
        <v>3163800838.333333</v>
      </c>
      <c r="S329" s="719">
        <v>335358304</v>
      </c>
      <c r="T329" s="575">
        <f t="shared" si="85"/>
        <v>0.10599855083693077</v>
      </c>
    </row>
    <row r="330" spans="1:20" x14ac:dyDescent="0.25">
      <c r="A330" s="175"/>
      <c r="B330" s="76">
        <v>2020</v>
      </c>
      <c r="C330" s="623"/>
      <c r="D330" s="685">
        <v>16347283</v>
      </c>
      <c r="E330" s="753">
        <f>+$AJ$126</f>
        <v>145.41666666666666</v>
      </c>
      <c r="F330" s="593">
        <f t="shared" si="82"/>
        <v>2377167402.9166665</v>
      </c>
      <c r="G330" s="682"/>
      <c r="H330" s="1038"/>
      <c r="I330" s="682"/>
      <c r="J330" s="1042"/>
      <c r="K330" s="883"/>
      <c r="L330" s="1042"/>
      <c r="M330" s="883"/>
      <c r="N330" s="1316"/>
      <c r="O330" s="1042"/>
      <c r="P330" s="614">
        <v>1530143148</v>
      </c>
      <c r="Q330" s="545">
        <f t="shared" si="83"/>
        <v>0.11469886149501615</v>
      </c>
      <c r="R330" s="615">
        <f t="shared" si="84"/>
        <v>2377167402.9166665</v>
      </c>
      <c r="S330" s="722">
        <v>175505677</v>
      </c>
      <c r="T330" s="575">
        <f t="shared" si="85"/>
        <v>7.382975081378923E-2</v>
      </c>
    </row>
    <row r="331" spans="1:20" x14ac:dyDescent="0.25">
      <c r="A331" s="175"/>
      <c r="B331" s="76">
        <v>2019</v>
      </c>
      <c r="C331" s="107"/>
      <c r="D331" s="754">
        <v>16132166</v>
      </c>
      <c r="E331" s="753">
        <f>+$AI$126</f>
        <v>124.41666666666667</v>
      </c>
      <c r="F331" s="594">
        <f t="shared" si="82"/>
        <v>2007110319.8333335</v>
      </c>
      <c r="G331" s="987"/>
      <c r="H331" s="274"/>
      <c r="I331" s="849"/>
      <c r="J331" s="863"/>
      <c r="K331" s="849"/>
      <c r="L331" s="863"/>
      <c r="M331" s="849"/>
      <c r="N331" s="1317"/>
      <c r="O331" s="863"/>
      <c r="P331" s="719">
        <v>1129122803</v>
      </c>
      <c r="Q331" s="545">
        <f t="shared" si="83"/>
        <v>9.373979581209467E-2</v>
      </c>
      <c r="R331" s="615">
        <f t="shared" si="84"/>
        <v>2007110319.8333335</v>
      </c>
      <c r="S331" s="719">
        <v>105843741</v>
      </c>
      <c r="T331" s="575">
        <f t="shared" si="85"/>
        <v>5.2734391305799801E-2</v>
      </c>
    </row>
    <row r="332" spans="1:20" x14ac:dyDescent="0.25">
      <c r="A332" s="175"/>
      <c r="B332" s="76">
        <v>2018</v>
      </c>
      <c r="C332" s="284"/>
      <c r="D332" s="587">
        <v>17838924</v>
      </c>
      <c r="E332" s="753">
        <f>+$AH$126</f>
        <v>90.416666666666671</v>
      </c>
      <c r="F332" s="593">
        <f t="shared" si="82"/>
        <v>1612936045</v>
      </c>
      <c r="G332" s="682"/>
      <c r="H332" s="1038"/>
      <c r="I332" s="849"/>
      <c r="J332" s="863"/>
      <c r="K332" s="849"/>
      <c r="L332" s="863"/>
      <c r="M332" s="849"/>
      <c r="N332" s="1317"/>
      <c r="O332" s="863"/>
      <c r="P332" s="719">
        <f>851203601</f>
        <v>851203601</v>
      </c>
      <c r="Q332" s="545">
        <f t="shared" si="83"/>
        <v>7.2316570239697564E-2</v>
      </c>
      <c r="R332" s="615">
        <f t="shared" si="84"/>
        <v>1612936045</v>
      </c>
      <c r="S332" s="719">
        <f>61556125</f>
        <v>61556125</v>
      </c>
      <c r="T332" s="575">
        <f t="shared" si="85"/>
        <v>3.8164020942318265E-2</v>
      </c>
    </row>
    <row r="333" spans="1:20" x14ac:dyDescent="0.25">
      <c r="A333" s="175"/>
      <c r="B333" s="76">
        <v>2017</v>
      </c>
      <c r="C333" s="372"/>
      <c r="D333" s="647">
        <v>19246723</v>
      </c>
      <c r="E333" s="753">
        <f>+$AG$126</f>
        <v>93.166666666666671</v>
      </c>
      <c r="F333" s="607">
        <f t="shared" si="82"/>
        <v>1793153026.1666667</v>
      </c>
      <c r="G333" s="1313"/>
      <c r="H333" s="38"/>
      <c r="I333" s="1086"/>
      <c r="J333" s="39"/>
      <c r="K333" s="1086"/>
      <c r="L333" s="39"/>
      <c r="M333" s="1086"/>
      <c r="N333" s="1318"/>
      <c r="O333" s="39"/>
      <c r="P333" s="720">
        <v>910550661</v>
      </c>
      <c r="Q333" s="545">
        <f t="shared" si="83"/>
        <v>6.0971164349086115E-2</v>
      </c>
      <c r="R333" s="615">
        <f t="shared" si="84"/>
        <v>1793153026.1666667</v>
      </c>
      <c r="S333" s="720">
        <v>55517334</v>
      </c>
      <c r="T333" s="575">
        <f t="shared" si="85"/>
        <v>3.0960734075598004E-2</v>
      </c>
    </row>
    <row r="334" spans="1:20" x14ac:dyDescent="0.25">
      <c r="A334" s="175"/>
      <c r="B334" s="76">
        <v>2016</v>
      </c>
      <c r="C334" s="284"/>
      <c r="D334" s="587">
        <v>22620691</v>
      </c>
      <c r="E334" s="753">
        <f>+$AF$126</f>
        <v>77.333333333333329</v>
      </c>
      <c r="F334" s="593">
        <f t="shared" si="82"/>
        <v>1749333437.3333333</v>
      </c>
      <c r="G334" s="726"/>
      <c r="H334" s="1039"/>
      <c r="I334" s="988"/>
      <c r="J334" s="1000"/>
      <c r="K334" s="988"/>
      <c r="L334" s="1000"/>
      <c r="M334" s="988"/>
      <c r="N334" s="1319"/>
      <c r="O334" s="1000"/>
      <c r="P334" s="720">
        <v>487858413</v>
      </c>
      <c r="Q334" s="545">
        <f t="shared" si="83"/>
        <v>3.5612287370762219E-2</v>
      </c>
      <c r="R334" s="615">
        <f t="shared" si="84"/>
        <v>1749333437.3333333</v>
      </c>
      <c r="S334" s="720">
        <v>17373754</v>
      </c>
      <c r="T334" s="575">
        <f t="shared" si="85"/>
        <v>9.9316423211371178E-3</v>
      </c>
    </row>
    <row r="335" spans="1:20" x14ac:dyDescent="0.25">
      <c r="A335" s="496" t="s">
        <v>58</v>
      </c>
      <c r="B335" s="76">
        <v>2015</v>
      </c>
      <c r="C335" s="284"/>
      <c r="D335" s="587">
        <v>21877918</v>
      </c>
      <c r="E335" s="753">
        <f>+$AE$126</f>
        <v>71.083333333333329</v>
      </c>
      <c r="F335" s="593">
        <f t="shared" si="82"/>
        <v>1555155337.8333333</v>
      </c>
      <c r="G335" s="726"/>
      <c r="H335" s="1039"/>
      <c r="I335" s="988"/>
      <c r="J335" s="1000"/>
      <c r="K335" s="988"/>
      <c r="L335" s="1000"/>
      <c r="M335" s="988"/>
      <c r="N335" s="1319"/>
      <c r="O335" s="1000"/>
      <c r="P335" s="720">
        <v>395672467</v>
      </c>
      <c r="Q335" s="545">
        <f t="shared" si="83"/>
        <v>3.4578210871569183E-2</v>
      </c>
      <c r="R335" s="615">
        <f t="shared" si="84"/>
        <v>1555155337.8333333</v>
      </c>
      <c r="S335" s="720">
        <v>13681646</v>
      </c>
      <c r="T335" s="575">
        <f t="shared" si="85"/>
        <v>8.7976073303786383E-3</v>
      </c>
    </row>
    <row r="336" spans="1:20" ht="15.75" thickBot="1" x14ac:dyDescent="0.3">
      <c r="A336" s="497" t="s">
        <v>57</v>
      </c>
      <c r="B336" s="77">
        <v>2014</v>
      </c>
      <c r="C336" s="285"/>
      <c r="D336" s="588">
        <v>19910308</v>
      </c>
      <c r="E336" s="755">
        <f>+$AD$126</f>
        <v>107.75</v>
      </c>
      <c r="F336" s="595">
        <f t="shared" si="82"/>
        <v>2145335687</v>
      </c>
      <c r="G336" s="899"/>
      <c r="H336" s="1040"/>
      <c r="I336" s="990"/>
      <c r="J336" s="572"/>
      <c r="K336" s="558"/>
      <c r="L336" s="572"/>
      <c r="M336" s="558"/>
      <c r="N336" s="1320"/>
      <c r="O336" s="572"/>
      <c r="P336" s="612">
        <v>617289452</v>
      </c>
      <c r="Q336" s="546">
        <f t="shared" si="83"/>
        <v>3.6598201908041028E-2</v>
      </c>
      <c r="R336" s="616">
        <f t="shared" si="84"/>
        <v>2145335687</v>
      </c>
      <c r="S336" s="612">
        <v>22591684</v>
      </c>
      <c r="T336" s="576">
        <f t="shared" si="85"/>
        <v>1.0530605600278723E-2</v>
      </c>
    </row>
    <row r="337" spans="1:20" ht="15.75" thickBot="1" x14ac:dyDescent="0.3">
      <c r="A337" s="174"/>
      <c r="B337" s="14"/>
      <c r="C337" s="14"/>
      <c r="D337" s="14"/>
      <c r="E337" s="14"/>
      <c r="F337" s="14"/>
      <c r="G337" s="35"/>
      <c r="H337" s="35"/>
      <c r="I337" s="35"/>
      <c r="J337" s="17"/>
      <c r="K337" s="17"/>
      <c r="L337" s="17"/>
      <c r="M337" s="17"/>
      <c r="N337" s="17"/>
      <c r="O337" s="17"/>
      <c r="P337" s="514">
        <f>SUM(P328:P336)</f>
        <v>10188710311</v>
      </c>
      <c r="R337" s="229"/>
      <c r="S337" s="514">
        <f>SUM(S328:S336)</f>
        <v>980366546</v>
      </c>
      <c r="T337" s="16"/>
    </row>
    <row r="338" spans="1:20" ht="15.75" thickBot="1" x14ac:dyDescent="0.3">
      <c r="A338" s="175"/>
      <c r="B338" s="79"/>
      <c r="C338" s="1076" t="s">
        <v>60</v>
      </c>
      <c r="D338" s="1005" t="s">
        <v>61</v>
      </c>
      <c r="E338" s="1005" t="s">
        <v>62</v>
      </c>
      <c r="F338" s="1005" t="s">
        <v>3</v>
      </c>
      <c r="G338" s="1068"/>
      <c r="H338" s="766"/>
      <c r="I338" s="1068"/>
      <c r="J338" s="1071"/>
      <c r="K338" s="1070"/>
      <c r="L338" s="1071"/>
      <c r="M338" s="1070"/>
      <c r="N338" s="1071"/>
      <c r="O338" s="1075"/>
      <c r="P338" s="238" t="s">
        <v>40</v>
      </c>
      <c r="Q338" s="1077" t="s">
        <v>41</v>
      </c>
      <c r="R338" s="224" t="s">
        <v>113</v>
      </c>
      <c r="S338" s="261" t="s">
        <v>2</v>
      </c>
      <c r="T338" s="98" t="s">
        <v>42</v>
      </c>
    </row>
    <row r="339" spans="1:20" x14ac:dyDescent="0.25">
      <c r="A339" s="175"/>
      <c r="B339" s="319">
        <v>2023</v>
      </c>
      <c r="C339" s="642"/>
      <c r="D339" s="858">
        <v>5800626</v>
      </c>
      <c r="E339" s="753">
        <f>+$AM$126</f>
        <v>162.91666666666666</v>
      </c>
      <c r="F339" s="607">
        <f t="shared" ref="F339:F348" si="86">+D339*E339</f>
        <v>945018652.5</v>
      </c>
      <c r="G339" s="1297"/>
      <c r="H339" s="865"/>
      <c r="I339" s="1058"/>
      <c r="J339" s="550"/>
      <c r="K339" s="569"/>
      <c r="L339" s="550"/>
      <c r="M339" s="569"/>
      <c r="N339" s="550"/>
      <c r="O339" s="569"/>
      <c r="P339" s="867">
        <v>480967704</v>
      </c>
      <c r="Q339" s="406">
        <f t="shared" ref="Q339:Q348" si="87">+S339/P339</f>
        <v>8.1839241330848272E-2</v>
      </c>
      <c r="R339" s="264">
        <f t="shared" ref="R339:R348" si="88">+F339+I339</f>
        <v>945018652.5</v>
      </c>
      <c r="S339" s="867">
        <v>39362032</v>
      </c>
      <c r="T339" s="630">
        <f t="shared" ref="T339:T348" si="89">+S339/R339</f>
        <v>4.1652121781797315E-2</v>
      </c>
    </row>
    <row r="340" spans="1:20" x14ac:dyDescent="0.25">
      <c r="A340" s="175"/>
      <c r="B340" s="319">
        <v>2022</v>
      </c>
      <c r="C340" s="206"/>
      <c r="D340" s="584">
        <v>6018372</v>
      </c>
      <c r="E340" s="753">
        <f>+$AL$126</f>
        <v>157.33333333333334</v>
      </c>
      <c r="F340" s="607">
        <f t="shared" si="86"/>
        <v>946890528</v>
      </c>
      <c r="G340" s="863"/>
      <c r="H340" s="849"/>
      <c r="I340" s="863"/>
      <c r="J340" s="833"/>
      <c r="K340" s="832"/>
      <c r="L340" s="833"/>
      <c r="M340" s="832"/>
      <c r="N340" s="833"/>
      <c r="O340" s="832"/>
      <c r="P340" s="458">
        <v>564488749</v>
      </c>
      <c r="Q340" s="406">
        <f t="shared" si="87"/>
        <v>0.10350132239748147</v>
      </c>
      <c r="R340" s="264">
        <f t="shared" si="88"/>
        <v>946890528</v>
      </c>
      <c r="S340" s="610">
        <v>58425332</v>
      </c>
      <c r="T340" s="630">
        <f t="shared" si="89"/>
        <v>6.1702309055097021E-2</v>
      </c>
    </row>
    <row r="341" spans="1:20" x14ac:dyDescent="0.25">
      <c r="A341" s="175"/>
      <c r="B341" s="76">
        <v>2021</v>
      </c>
      <c r="C341" s="728"/>
      <c r="D341" s="646">
        <v>5415847</v>
      </c>
      <c r="E341" s="756">
        <f>+$AK$126</f>
        <v>202.41666666666666</v>
      </c>
      <c r="F341" s="607">
        <f t="shared" si="86"/>
        <v>1096257696.9166665</v>
      </c>
      <c r="G341" s="274"/>
      <c r="H341" s="987"/>
      <c r="I341" s="863"/>
      <c r="J341" s="994"/>
      <c r="K341" s="1041"/>
      <c r="L341" s="994"/>
      <c r="M341" s="1041"/>
      <c r="N341" s="994"/>
      <c r="O341" s="1041"/>
      <c r="P341" s="729">
        <v>679932447</v>
      </c>
      <c r="Q341" s="406">
        <f t="shared" si="87"/>
        <v>0.13957237431264991</v>
      </c>
      <c r="R341" s="264">
        <f t="shared" si="88"/>
        <v>1096257696.9166665</v>
      </c>
      <c r="S341" s="731">
        <v>94899786</v>
      </c>
      <c r="T341" s="630">
        <f t="shared" si="89"/>
        <v>8.656704191625296E-2</v>
      </c>
    </row>
    <row r="342" spans="1:20" x14ac:dyDescent="0.25">
      <c r="A342" s="175"/>
      <c r="B342" s="80">
        <v>2020</v>
      </c>
      <c r="C342" s="489"/>
      <c r="D342" s="752">
        <v>6092920</v>
      </c>
      <c r="E342" s="555">
        <f>+$AJ$126</f>
        <v>145.41666666666666</v>
      </c>
      <c r="F342" s="593">
        <f t="shared" si="86"/>
        <v>886012116.66666663</v>
      </c>
      <c r="G342" s="982"/>
      <c r="H342" s="678"/>
      <c r="I342" s="1038"/>
      <c r="J342" s="678"/>
      <c r="K342" s="982"/>
      <c r="L342" s="678"/>
      <c r="M342" s="982"/>
      <c r="N342" s="678"/>
      <c r="O342" s="982"/>
      <c r="P342" s="499">
        <v>473928478</v>
      </c>
      <c r="Q342" s="408">
        <f t="shared" si="87"/>
        <v>0.11469886179745459</v>
      </c>
      <c r="R342" s="256">
        <f t="shared" si="88"/>
        <v>886012116.66666663</v>
      </c>
      <c r="S342" s="732">
        <v>54359057</v>
      </c>
      <c r="T342" s="575">
        <f t="shared" si="89"/>
        <v>6.1352498433665144E-2</v>
      </c>
    </row>
    <row r="343" spans="1:20" x14ac:dyDescent="0.25">
      <c r="A343" s="175"/>
      <c r="B343" s="76">
        <v>2019</v>
      </c>
      <c r="C343" s="425"/>
      <c r="D343" s="587">
        <v>6171303</v>
      </c>
      <c r="E343" s="555">
        <f>+$AI$126</f>
        <v>124.41666666666667</v>
      </c>
      <c r="F343" s="593">
        <f t="shared" si="86"/>
        <v>767812948.25</v>
      </c>
      <c r="G343" s="1087"/>
      <c r="H343" s="984"/>
      <c r="I343" s="1090"/>
      <c r="J343" s="1085"/>
      <c r="K343" s="1084"/>
      <c r="L343" s="1085"/>
      <c r="M343" s="1084"/>
      <c r="N343" s="1085"/>
      <c r="O343" s="1083"/>
      <c r="P343" s="212">
        <v>344940691</v>
      </c>
      <c r="Q343" s="408">
        <f t="shared" si="87"/>
        <v>9.3739795981332918E-2</v>
      </c>
      <c r="R343" s="256">
        <f t="shared" si="88"/>
        <v>767812948.25</v>
      </c>
      <c r="S343" s="611">
        <v>32334670</v>
      </c>
      <c r="T343" s="575">
        <f t="shared" si="89"/>
        <v>4.2112691735268611E-2</v>
      </c>
    </row>
    <row r="344" spans="1:20" x14ac:dyDescent="0.25">
      <c r="A344" s="175"/>
      <c r="B344" s="319">
        <v>2018</v>
      </c>
      <c r="C344" s="107"/>
      <c r="D344" s="647">
        <v>6673132</v>
      </c>
      <c r="E344" s="555">
        <f>+$AH$126</f>
        <v>90.416666666666671</v>
      </c>
      <c r="F344" s="593">
        <f t="shared" si="86"/>
        <v>603362351.66666675</v>
      </c>
      <c r="G344" s="1087"/>
      <c r="H344" s="984"/>
      <c r="I344" s="1090"/>
      <c r="J344" s="1085"/>
      <c r="K344" s="1084"/>
      <c r="L344" s="1085"/>
      <c r="M344" s="1084"/>
      <c r="N344" s="1085"/>
      <c r="O344" s="1084"/>
      <c r="P344" s="212">
        <v>246873391</v>
      </c>
      <c r="Q344" s="408">
        <f t="shared" si="87"/>
        <v>7.2316570561466467E-2</v>
      </c>
      <c r="R344" s="256">
        <f t="shared" si="88"/>
        <v>603362351.66666675</v>
      </c>
      <c r="S344" s="611">
        <v>17853037</v>
      </c>
      <c r="T344" s="575">
        <f t="shared" si="89"/>
        <v>2.958924591613081E-2</v>
      </c>
    </row>
    <row r="345" spans="1:20" x14ac:dyDescent="0.25">
      <c r="A345" s="175"/>
      <c r="B345" s="80">
        <v>2017</v>
      </c>
      <c r="C345" s="284"/>
      <c r="D345" s="587">
        <v>5110529</v>
      </c>
      <c r="E345" s="555">
        <f>+$AG$126</f>
        <v>93.166666666666671</v>
      </c>
      <c r="F345" s="593">
        <f t="shared" si="86"/>
        <v>476130951.83333337</v>
      </c>
      <c r="G345" s="1061"/>
      <c r="H345" s="983"/>
      <c r="I345" s="1000"/>
      <c r="J345" s="557"/>
      <c r="K345" s="571"/>
      <c r="L345" s="557"/>
      <c r="M345" s="571"/>
      <c r="N345" s="557"/>
      <c r="O345" s="571"/>
      <c r="P345" s="212">
        <v>194843321</v>
      </c>
      <c r="Q345" s="408">
        <f t="shared" si="87"/>
        <v>6.0971163594568376E-2</v>
      </c>
      <c r="R345" s="256">
        <f t="shared" si="88"/>
        <v>476130951.83333337</v>
      </c>
      <c r="S345" s="733">
        <v>11879824</v>
      </c>
      <c r="T345" s="575">
        <f t="shared" si="89"/>
        <v>2.4950749272352402E-2</v>
      </c>
    </row>
    <row r="346" spans="1:20" x14ac:dyDescent="0.25">
      <c r="A346" s="175"/>
      <c r="B346" s="76">
        <v>2016</v>
      </c>
      <c r="C346" s="284"/>
      <c r="D346" s="587">
        <v>3479297</v>
      </c>
      <c r="E346" s="555">
        <f>+$AF$126</f>
        <v>77.333333333333329</v>
      </c>
      <c r="F346" s="593">
        <f t="shared" si="86"/>
        <v>269065634.66666663</v>
      </c>
      <c r="G346" s="1061"/>
      <c r="H346" s="983"/>
      <c r="I346" s="1000"/>
      <c r="J346" s="557"/>
      <c r="K346" s="571"/>
      <c r="L346" s="557"/>
      <c r="M346" s="571"/>
      <c r="N346" s="557"/>
      <c r="O346" s="571"/>
      <c r="P346" s="212">
        <v>73292037</v>
      </c>
      <c r="Q346" s="408">
        <f t="shared" si="87"/>
        <v>3.6460495701599892E-2</v>
      </c>
      <c r="R346" s="256">
        <f t="shared" si="88"/>
        <v>269065634.66666663</v>
      </c>
      <c r="S346" s="611">
        <v>2672264</v>
      </c>
      <c r="T346" s="575">
        <f t="shared" si="89"/>
        <v>9.931643642676808E-3</v>
      </c>
    </row>
    <row r="347" spans="1:20" x14ac:dyDescent="0.25">
      <c r="A347" s="175"/>
      <c r="B347" s="76">
        <v>2015</v>
      </c>
      <c r="C347" s="284"/>
      <c r="D347" s="587">
        <v>3365084</v>
      </c>
      <c r="E347" s="555">
        <f>+$AE$126</f>
        <v>71.083333333333329</v>
      </c>
      <c r="F347" s="593">
        <f t="shared" si="86"/>
        <v>239201387.66666666</v>
      </c>
      <c r="G347" s="1088"/>
      <c r="H347" s="983"/>
      <c r="I347" s="1000"/>
      <c r="J347" s="557"/>
      <c r="K347" s="571"/>
      <c r="L347" s="557"/>
      <c r="M347" s="571"/>
      <c r="N347" s="557"/>
      <c r="O347" s="571"/>
      <c r="P347" s="212">
        <v>46985932</v>
      </c>
      <c r="Q347" s="408">
        <f t="shared" si="87"/>
        <v>3.457822226448546E-2</v>
      </c>
      <c r="R347" s="256">
        <f t="shared" si="88"/>
        <v>239201387.66666666</v>
      </c>
      <c r="S347" s="611">
        <v>1624690</v>
      </c>
      <c r="T347" s="575">
        <f t="shared" si="89"/>
        <v>6.7921428711109639E-3</v>
      </c>
    </row>
    <row r="348" spans="1:20" ht="15.75" thickBot="1" x14ac:dyDescent="0.3">
      <c r="A348" s="176"/>
      <c r="B348" s="77">
        <v>2014</v>
      </c>
      <c r="C348" s="285"/>
      <c r="D348" s="757">
        <v>2844620</v>
      </c>
      <c r="E348" s="758">
        <f>+$AD$126</f>
        <v>107.75</v>
      </c>
      <c r="F348" s="595">
        <f t="shared" si="86"/>
        <v>306507805</v>
      </c>
      <c r="G348" s="1089"/>
      <c r="H348" s="1060"/>
      <c r="I348" s="1043"/>
      <c r="J348" s="558"/>
      <c r="K348" s="572"/>
      <c r="L348" s="558"/>
      <c r="M348" s="572"/>
      <c r="N348" s="558"/>
      <c r="O348" s="572"/>
      <c r="P348" s="213">
        <v>88219667</v>
      </c>
      <c r="Q348" s="730">
        <f t="shared" si="87"/>
        <v>3.6598199809573073E-2</v>
      </c>
      <c r="R348" s="253">
        <f t="shared" si="88"/>
        <v>306507805</v>
      </c>
      <c r="S348" s="612">
        <v>3228681</v>
      </c>
      <c r="T348" s="576">
        <f t="shared" si="89"/>
        <v>1.0533764384890622E-2</v>
      </c>
    </row>
    <row r="349" spans="1:20" ht="15.75" thickBot="1" x14ac:dyDescent="0.3">
      <c r="P349" s="514">
        <f>SUM(P340:P348)</f>
        <v>2713504713</v>
      </c>
      <c r="R349" s="229"/>
      <c r="S349" s="514">
        <f>SUM(S340:S348)</f>
        <v>277277341</v>
      </c>
    </row>
    <row r="350" spans="1:20" ht="15.75" thickBot="1" x14ac:dyDescent="0.3">
      <c r="A350" s="734"/>
      <c r="B350" s="79"/>
      <c r="C350" s="1073" t="s">
        <v>64</v>
      </c>
      <c r="D350" s="1005" t="s">
        <v>107</v>
      </c>
      <c r="E350" s="1005" t="s">
        <v>62</v>
      </c>
      <c r="F350" s="1005" t="s">
        <v>3</v>
      </c>
      <c r="G350" s="1006" t="s">
        <v>181</v>
      </c>
      <c r="H350" s="1006" t="s">
        <v>65</v>
      </c>
      <c r="I350" s="1006" t="s">
        <v>4</v>
      </c>
      <c r="J350" s="1070"/>
      <c r="K350" s="1071"/>
      <c r="L350" s="1070"/>
      <c r="M350" s="1071"/>
      <c r="N350" s="1070"/>
      <c r="O350" s="1071"/>
      <c r="P350" s="1052" t="s">
        <v>40</v>
      </c>
      <c r="Q350" s="1010" t="s">
        <v>41</v>
      </c>
      <c r="R350" s="261" t="s">
        <v>113</v>
      </c>
      <c r="S350" s="261" t="s">
        <v>2</v>
      </c>
      <c r="T350" s="98" t="s">
        <v>42</v>
      </c>
    </row>
    <row r="351" spans="1:20" x14ac:dyDescent="0.25">
      <c r="A351" s="175"/>
      <c r="B351" s="201">
        <v>2023</v>
      </c>
      <c r="C351" s="1324"/>
      <c r="D351" s="858">
        <v>58100</v>
      </c>
      <c r="E351" s="1135">
        <f>+$AM$105</f>
        <v>29035.125833333335</v>
      </c>
      <c r="F351" s="945">
        <f t="shared" ref="F351:F360" si="90">+D351*E351</f>
        <v>1686940810.9166667</v>
      </c>
      <c r="G351" s="714">
        <v>40926</v>
      </c>
      <c r="H351" s="567">
        <f>+$AM$80</f>
        <v>11459.475833333336</v>
      </c>
      <c r="I351" s="562">
        <f t="shared" ref="I351:I360" si="91">+G351*H351</f>
        <v>468990507.9550001</v>
      </c>
      <c r="J351" s="1058"/>
      <c r="K351" s="865"/>
      <c r="L351" s="1058"/>
      <c r="M351" s="1058"/>
      <c r="N351" s="1058"/>
      <c r="O351" s="1058"/>
      <c r="P351" s="978">
        <v>99404235</v>
      </c>
      <c r="Q351" s="544">
        <f t="shared" ref="Q351:Q360" si="92">+S351/P351</f>
        <v>1.5856155424363961E-2</v>
      </c>
      <c r="R351" s="1079">
        <f t="shared" ref="R351:R360" si="93">+F351+I351</f>
        <v>2155931318.8716669</v>
      </c>
      <c r="S351" s="978">
        <f>1576169</f>
        <v>1576169</v>
      </c>
      <c r="T351" s="630">
        <f t="shared" ref="T351:T360" si="94">+S351/R351</f>
        <v>7.3108497761649818E-4</v>
      </c>
    </row>
    <row r="352" spans="1:20" x14ac:dyDescent="0.25">
      <c r="A352" s="175"/>
      <c r="B352" s="319">
        <v>2022</v>
      </c>
      <c r="C352" s="691"/>
      <c r="D352" s="584">
        <v>78882</v>
      </c>
      <c r="E352" s="680">
        <f>+$AL$105</f>
        <v>33583.721666666665</v>
      </c>
      <c r="F352" s="607">
        <f t="shared" si="90"/>
        <v>2649151132.5099998</v>
      </c>
      <c r="G352" s="956">
        <v>45279</v>
      </c>
      <c r="H352" s="567">
        <f>+$AL$80</f>
        <v>11455.164166666667</v>
      </c>
      <c r="I352" s="562">
        <f t="shared" si="91"/>
        <v>518678378.30250001</v>
      </c>
      <c r="J352" s="832"/>
      <c r="K352" s="833"/>
      <c r="L352" s="833"/>
      <c r="M352" s="832"/>
      <c r="N352" s="833"/>
      <c r="O352" s="832"/>
      <c r="P352" s="610">
        <v>196749447</v>
      </c>
      <c r="Q352" s="544">
        <f t="shared" si="92"/>
        <v>2.7801745231843016E-2</v>
      </c>
      <c r="R352" s="1079">
        <f t="shared" si="93"/>
        <v>3167829510.8125</v>
      </c>
      <c r="S352" s="610">
        <v>5469978</v>
      </c>
      <c r="T352" s="630">
        <f t="shared" si="94"/>
        <v>1.7267273953127085E-3</v>
      </c>
    </row>
    <row r="353" spans="1:20" x14ac:dyDescent="0.25">
      <c r="A353" s="175"/>
      <c r="B353" s="76">
        <v>2021</v>
      </c>
      <c r="C353" s="1091"/>
      <c r="D353" s="584">
        <v>76181</v>
      </c>
      <c r="E353" s="680">
        <f>+$AK$105</f>
        <v>23158.052500000002</v>
      </c>
      <c r="F353" s="607">
        <f t="shared" si="90"/>
        <v>1764203597.5025001</v>
      </c>
      <c r="G353" s="956">
        <v>44059</v>
      </c>
      <c r="H353" s="567">
        <f>+$AK$80</f>
        <v>11721.560833333335</v>
      </c>
      <c r="I353" s="562">
        <f t="shared" si="91"/>
        <v>516440248.75583339</v>
      </c>
      <c r="J353" s="1092"/>
      <c r="K353" s="833"/>
      <c r="L353" s="833"/>
      <c r="M353" s="832"/>
      <c r="N353" s="833"/>
      <c r="O353" s="832"/>
      <c r="P353" s="1078">
        <v>223082898</v>
      </c>
      <c r="Q353" s="544">
        <f t="shared" si="92"/>
        <v>2.924168575217272E-2</v>
      </c>
      <c r="R353" s="1079">
        <f t="shared" si="93"/>
        <v>2280643846.2583332</v>
      </c>
      <c r="S353" s="610">
        <v>6523320</v>
      </c>
      <c r="T353" s="630">
        <f t="shared" si="94"/>
        <v>2.8602975474238471E-3</v>
      </c>
    </row>
    <row r="354" spans="1:20" x14ac:dyDescent="0.25">
      <c r="A354" s="175" t="s">
        <v>173</v>
      </c>
      <c r="B354" s="76">
        <v>2020</v>
      </c>
      <c r="C354" s="737"/>
      <c r="D354" s="752">
        <v>72467</v>
      </c>
      <c r="E354" s="555">
        <f>+$AJ$105</f>
        <v>18438.892499999998</v>
      </c>
      <c r="F354" s="593">
        <f t="shared" si="90"/>
        <v>1336211222.7974999</v>
      </c>
      <c r="G354" s="738">
        <v>38214</v>
      </c>
      <c r="H354" s="560">
        <f>+$AJ$80</f>
        <v>8253.2833333333328</v>
      </c>
      <c r="I354" s="563">
        <f t="shared" si="91"/>
        <v>315390969.29999995</v>
      </c>
      <c r="J354" s="1093"/>
      <c r="K354" s="682"/>
      <c r="L354" s="682"/>
      <c r="M354" s="1038"/>
      <c r="N354" s="682"/>
      <c r="O354" s="1038"/>
      <c r="P354" s="614">
        <v>130894363</v>
      </c>
      <c r="Q354" s="545">
        <f t="shared" si="92"/>
        <v>2.1664607512548114E-2</v>
      </c>
      <c r="R354" s="615">
        <f t="shared" si="93"/>
        <v>1651602192.0974998</v>
      </c>
      <c r="S354" s="614">
        <v>2835775</v>
      </c>
      <c r="T354" s="575">
        <f t="shared" si="94"/>
        <v>1.716984279609502E-3</v>
      </c>
    </row>
    <row r="355" spans="1:20" x14ac:dyDescent="0.25">
      <c r="A355" s="175"/>
      <c r="B355" s="76">
        <v>2019</v>
      </c>
      <c r="C355" s="690"/>
      <c r="D355" s="587">
        <v>108597</v>
      </c>
      <c r="E355" s="555">
        <f>+$AI$105</f>
        <v>18453.875833333335</v>
      </c>
      <c r="F355" s="593">
        <f t="shared" si="90"/>
        <v>2004035553.8725002</v>
      </c>
      <c r="G355" s="599">
        <v>56595</v>
      </c>
      <c r="H355" s="560">
        <f>+$AI$80</f>
        <v>7975.3608333333332</v>
      </c>
      <c r="I355" s="563">
        <f t="shared" si="91"/>
        <v>451365546.36250001</v>
      </c>
      <c r="J355" s="992"/>
      <c r="K355" s="988"/>
      <c r="L355" s="988"/>
      <c r="M355" s="1000"/>
      <c r="N355" s="988"/>
      <c r="O355" s="1000"/>
      <c r="P355" s="720">
        <v>128052044</v>
      </c>
      <c r="Q355" s="545">
        <f t="shared" si="92"/>
        <v>2.1257622408588809E-2</v>
      </c>
      <c r="R355" s="615">
        <f t="shared" si="93"/>
        <v>2455401100.2350001</v>
      </c>
      <c r="S355" s="720">
        <v>2722082</v>
      </c>
      <c r="T355" s="575">
        <f t="shared" si="94"/>
        <v>1.1086099129545379E-3</v>
      </c>
    </row>
    <row r="356" spans="1:20" x14ac:dyDescent="0.25">
      <c r="A356" s="175"/>
      <c r="B356" s="76">
        <v>2018</v>
      </c>
      <c r="C356" s="692"/>
      <c r="D356" s="633">
        <v>119186</v>
      </c>
      <c r="E356" s="555">
        <f>+$AH$105</f>
        <v>16980.259166666667</v>
      </c>
      <c r="F356" s="607">
        <f t="shared" si="90"/>
        <v>2023809169.0383334</v>
      </c>
      <c r="G356" s="638">
        <v>64188</v>
      </c>
      <c r="H356" s="567">
        <f>+$AH$80</f>
        <v>8453.1374999999989</v>
      </c>
      <c r="I356" s="562">
        <f t="shared" si="91"/>
        <v>542589989.8499999</v>
      </c>
      <c r="J356" s="1094"/>
      <c r="K356" s="568"/>
      <c r="L356" s="568"/>
      <c r="M356" s="1059"/>
      <c r="N356" s="568"/>
      <c r="O356" s="1059"/>
      <c r="P356" s="720">
        <v>92624633</v>
      </c>
      <c r="Q356" s="545">
        <f t="shared" si="92"/>
        <v>1.4520813270050959E-2</v>
      </c>
      <c r="R356" s="615">
        <f t="shared" si="93"/>
        <v>2566399158.8883333</v>
      </c>
      <c r="S356" s="720">
        <v>1344985</v>
      </c>
      <c r="T356" s="575">
        <f t="shared" si="94"/>
        <v>5.2407475093726118E-4</v>
      </c>
    </row>
    <row r="357" spans="1:20" x14ac:dyDescent="0.25">
      <c r="A357" s="497" t="s">
        <v>63</v>
      </c>
      <c r="B357" s="76">
        <v>2017</v>
      </c>
      <c r="C357" s="693"/>
      <c r="D357" s="587">
        <v>113670</v>
      </c>
      <c r="E357" s="555">
        <f>+$AG$105</f>
        <v>13486.381666666663</v>
      </c>
      <c r="F357" s="593">
        <f t="shared" si="90"/>
        <v>1532997004.0499995</v>
      </c>
      <c r="G357" s="599">
        <v>58344</v>
      </c>
      <c r="H357" s="560">
        <f>+$AG$80</f>
        <v>7993.8658333333324</v>
      </c>
      <c r="I357" s="563">
        <f t="shared" si="91"/>
        <v>466394108.17999995</v>
      </c>
      <c r="J357" s="992"/>
      <c r="K357" s="988"/>
      <c r="L357" s="988"/>
      <c r="M357" s="1000"/>
      <c r="N357" s="988"/>
      <c r="O357" s="1059"/>
      <c r="P357" s="739">
        <v>30163046</v>
      </c>
      <c r="Q357" s="545">
        <f t="shared" si="92"/>
        <v>9.9999847495508241E-3</v>
      </c>
      <c r="R357" s="615">
        <f t="shared" si="93"/>
        <v>1999391112.2299995</v>
      </c>
      <c r="S357" s="720">
        <v>301630</v>
      </c>
      <c r="T357" s="575">
        <f t="shared" si="94"/>
        <v>1.5086092868722429E-4</v>
      </c>
    </row>
    <row r="358" spans="1:20" x14ac:dyDescent="0.25">
      <c r="A358" s="497"/>
      <c r="B358" s="76">
        <v>2016</v>
      </c>
      <c r="C358" s="693"/>
      <c r="D358" s="587">
        <v>109839</v>
      </c>
      <c r="E358" s="555">
        <f>+$AF$105</f>
        <v>12707.601666666667</v>
      </c>
      <c r="F358" s="593">
        <f t="shared" si="90"/>
        <v>1395790259.4650002</v>
      </c>
      <c r="G358" s="599">
        <v>52510</v>
      </c>
      <c r="H358" s="560">
        <f>+$AF$80</f>
        <v>6450.1633333333339</v>
      </c>
      <c r="I358" s="563">
        <f t="shared" si="91"/>
        <v>338698076.63333338</v>
      </c>
      <c r="J358" s="992"/>
      <c r="K358" s="988"/>
      <c r="L358" s="988"/>
      <c r="M358" s="1000"/>
      <c r="N358" s="988"/>
      <c r="O358" s="1000"/>
      <c r="P358" s="720">
        <v>22114053</v>
      </c>
      <c r="Q358" s="545">
        <f t="shared" si="92"/>
        <v>1.0000021253453629E-2</v>
      </c>
      <c r="R358" s="615">
        <f t="shared" si="93"/>
        <v>1734488336.0983336</v>
      </c>
      <c r="S358" s="720">
        <v>221141</v>
      </c>
      <c r="T358" s="575">
        <f t="shared" si="94"/>
        <v>1.274963892218776E-4</v>
      </c>
    </row>
    <row r="359" spans="1:20" x14ac:dyDescent="0.25">
      <c r="A359" s="735"/>
      <c r="B359" s="76">
        <v>2015</v>
      </c>
      <c r="C359" s="76"/>
      <c r="D359" s="587">
        <v>104391</v>
      </c>
      <c r="E359" s="555">
        <f>+$AE$105</f>
        <v>15082.027500000002</v>
      </c>
      <c r="F359" s="593">
        <f t="shared" si="90"/>
        <v>1574427932.7525003</v>
      </c>
      <c r="G359" s="599">
        <v>68370</v>
      </c>
      <c r="H359" s="560">
        <f>+$AE$80</f>
        <v>7025.8175000000001</v>
      </c>
      <c r="I359" s="563">
        <f t="shared" si="91"/>
        <v>480355142.47500002</v>
      </c>
      <c r="J359" s="992"/>
      <c r="K359" s="988"/>
      <c r="L359" s="988"/>
      <c r="M359" s="1000"/>
      <c r="N359" s="988"/>
      <c r="O359" s="1000"/>
      <c r="P359" s="720">
        <v>26125072</v>
      </c>
      <c r="Q359" s="545">
        <f t="shared" si="92"/>
        <v>1.0000010717673811E-2</v>
      </c>
      <c r="R359" s="615">
        <f t="shared" si="93"/>
        <v>2054783075.2275004</v>
      </c>
      <c r="S359" s="720">
        <v>261251</v>
      </c>
      <c r="T359" s="575">
        <f t="shared" si="94"/>
        <v>1.2714286152618566E-4</v>
      </c>
    </row>
    <row r="360" spans="1:20" ht="15.75" thickBot="1" x14ac:dyDescent="0.3">
      <c r="A360" s="176"/>
      <c r="B360" s="77">
        <v>2014</v>
      </c>
      <c r="C360" s="77"/>
      <c r="D360" s="588">
        <v>81244</v>
      </c>
      <c r="E360" s="556">
        <f>+$AD$105</f>
        <v>18627.933333333331</v>
      </c>
      <c r="F360" s="595">
        <f t="shared" si="90"/>
        <v>1513407815.7333331</v>
      </c>
      <c r="G360" s="601">
        <v>47639</v>
      </c>
      <c r="H360" s="561">
        <f>+$AD$80</f>
        <v>7578.9708333333338</v>
      </c>
      <c r="I360" s="564">
        <f t="shared" si="91"/>
        <v>361054591.5291667</v>
      </c>
      <c r="J360" s="993"/>
      <c r="K360" s="990"/>
      <c r="L360" s="990"/>
      <c r="M360" s="1043"/>
      <c r="N360" s="990"/>
      <c r="O360" s="1043"/>
      <c r="P360" s="740">
        <v>37758567</v>
      </c>
      <c r="Q360" s="546">
        <f t="shared" si="92"/>
        <v>1.0000008739738454E-2</v>
      </c>
      <c r="R360" s="616">
        <f t="shared" si="93"/>
        <v>1874462407.2624998</v>
      </c>
      <c r="S360" s="740">
        <v>377586</v>
      </c>
      <c r="T360" s="576">
        <f t="shared" si="94"/>
        <v>2.0143695522356926E-4</v>
      </c>
    </row>
    <row r="361" spans="1:20" ht="15.75" thickBot="1" x14ac:dyDescent="0.3">
      <c r="G361" t="s">
        <v>139</v>
      </c>
      <c r="P361" s="514">
        <f>SUM(P352:P360)</f>
        <v>887564123</v>
      </c>
      <c r="R361" s="229"/>
      <c r="S361" s="514">
        <f>SUM(S352:S360)</f>
        <v>20057748</v>
      </c>
    </row>
    <row r="362" spans="1:20" ht="15.75" thickBot="1" x14ac:dyDescent="0.3">
      <c r="A362" s="734"/>
      <c r="B362" s="79"/>
      <c r="C362" s="1400" t="s">
        <v>67</v>
      </c>
      <c r="D362" s="1028" t="s">
        <v>68</v>
      </c>
      <c r="E362" s="1028" t="s">
        <v>66</v>
      </c>
      <c r="F362" s="1005" t="s">
        <v>3</v>
      </c>
      <c r="G362" s="1068"/>
      <c r="H362" s="766"/>
      <c r="I362" s="1068"/>
      <c r="J362" s="1071"/>
      <c r="K362" s="1070"/>
      <c r="L362" s="1071"/>
      <c r="M362" s="1070"/>
      <c r="N362" s="1071"/>
      <c r="O362" s="1070"/>
      <c r="P362" s="1052" t="s">
        <v>40</v>
      </c>
      <c r="Q362" s="1010" t="s">
        <v>41</v>
      </c>
      <c r="R362" s="261" t="s">
        <v>113</v>
      </c>
      <c r="S362" s="261" t="s">
        <v>2</v>
      </c>
      <c r="T362" s="98" t="s">
        <v>42</v>
      </c>
    </row>
    <row r="363" spans="1:20" x14ac:dyDescent="0.25">
      <c r="A363" s="175"/>
      <c r="B363" s="319">
        <v>2022</v>
      </c>
      <c r="C363" s="1020"/>
      <c r="D363" s="584">
        <f>3438</f>
        <v>3438</v>
      </c>
      <c r="E363" s="1305"/>
      <c r="F363" s="632"/>
      <c r="G363" s="863"/>
      <c r="H363" s="849"/>
      <c r="I363" s="863"/>
      <c r="J363" s="833"/>
      <c r="K363" s="832"/>
      <c r="L363" s="833"/>
      <c r="M363" s="832"/>
      <c r="N363" s="833"/>
      <c r="O363" s="832"/>
      <c r="P363" s="458">
        <f>4409732</f>
        <v>4409732</v>
      </c>
      <c r="Q363" s="406">
        <f t="shared" ref="Q363:Q371" si="95">+S363/P363</f>
        <v>9.9999274332317704E-3</v>
      </c>
      <c r="R363" s="1141"/>
      <c r="S363" s="458">
        <f>44097</f>
        <v>44097</v>
      </c>
      <c r="T363" s="630"/>
    </row>
    <row r="364" spans="1:20" x14ac:dyDescent="0.25">
      <c r="A364" s="175"/>
      <c r="B364" s="76">
        <v>2021</v>
      </c>
      <c r="C364" s="1020"/>
      <c r="D364" s="584">
        <v>12013</v>
      </c>
      <c r="E364" s="1305"/>
      <c r="F364" s="632"/>
      <c r="G364" s="274"/>
      <c r="H364" s="987"/>
      <c r="I364" s="863"/>
      <c r="J364" s="833"/>
      <c r="K364" s="1041"/>
      <c r="L364" s="994"/>
      <c r="M364" s="1041"/>
      <c r="N364" s="994"/>
      <c r="O364" s="1041"/>
      <c r="P364" s="458">
        <v>5287898</v>
      </c>
      <c r="Q364" s="406">
        <f t="shared" si="95"/>
        <v>1.0000003782221215E-2</v>
      </c>
      <c r="R364" s="458"/>
      <c r="S364" s="458">
        <v>52879</v>
      </c>
      <c r="T364" s="630"/>
    </row>
    <row r="365" spans="1:20" x14ac:dyDescent="0.25">
      <c r="A365" s="175"/>
      <c r="B365" s="76">
        <v>2020</v>
      </c>
      <c r="C365" s="1018"/>
      <c r="D365" s="685">
        <v>6568</v>
      </c>
      <c r="E365" s="895"/>
      <c r="F365" s="635"/>
      <c r="G365" s="982"/>
      <c r="H365" s="678"/>
      <c r="I365" s="1038"/>
      <c r="J365" s="883"/>
      <c r="K365" s="999"/>
      <c r="L365" s="989"/>
      <c r="M365" s="999"/>
      <c r="N365" s="989"/>
      <c r="O365" s="999"/>
      <c r="P365" s="520">
        <v>4561380</v>
      </c>
      <c r="Q365" s="408">
        <f t="shared" si="95"/>
        <v>1.0000043846379824E-2</v>
      </c>
      <c r="R365" s="743"/>
      <c r="S365" s="520">
        <v>45614</v>
      </c>
      <c r="T365" s="575"/>
    </row>
    <row r="366" spans="1:20" x14ac:dyDescent="0.25">
      <c r="A366" s="175"/>
      <c r="B366" s="76">
        <v>2019</v>
      </c>
      <c r="C366" s="1018"/>
      <c r="D366" s="587">
        <v>11819</v>
      </c>
      <c r="E366" s="753"/>
      <c r="F366" s="593">
        <f t="shared" ref="F366:F371" si="96">+D366*E366</f>
        <v>0</v>
      </c>
      <c r="G366" s="1061"/>
      <c r="H366" s="983"/>
      <c r="I366" s="1000"/>
      <c r="J366" s="988"/>
      <c r="K366" s="1000"/>
      <c r="L366" s="988"/>
      <c r="M366" s="1000"/>
      <c r="N366" s="988"/>
      <c r="O366" s="1000"/>
      <c r="P366" s="227">
        <v>7691603</v>
      </c>
      <c r="Q366" s="408">
        <f t="shared" si="95"/>
        <v>9.9999960996426888E-3</v>
      </c>
      <c r="R366" s="256">
        <f>+F366+I366</f>
        <v>0</v>
      </c>
      <c r="S366" s="227">
        <v>76916</v>
      </c>
      <c r="T366" s="575"/>
    </row>
    <row r="367" spans="1:20" x14ac:dyDescent="0.25">
      <c r="A367" s="175"/>
      <c r="B367" s="76">
        <v>2018</v>
      </c>
      <c r="C367" s="1018"/>
      <c r="D367" s="587">
        <v>10886</v>
      </c>
      <c r="E367" s="753"/>
      <c r="F367" s="593">
        <f t="shared" si="96"/>
        <v>0</v>
      </c>
      <c r="G367" s="1061"/>
      <c r="H367" s="983"/>
      <c r="I367" s="1000"/>
      <c r="J367" s="988"/>
      <c r="K367" s="1000"/>
      <c r="L367" s="988"/>
      <c r="M367" s="1000"/>
      <c r="N367" s="988"/>
      <c r="O367" s="1059"/>
      <c r="P367" s="227">
        <v>11632190</v>
      </c>
      <c r="Q367" s="408">
        <f t="shared" si="95"/>
        <v>1.0000008596833442E-2</v>
      </c>
      <c r="R367" s="256">
        <f>+F367+I367</f>
        <v>0</v>
      </c>
      <c r="S367" s="227">
        <v>116322</v>
      </c>
      <c r="T367" s="575"/>
    </row>
    <row r="368" spans="1:20" x14ac:dyDescent="0.25">
      <c r="A368" s="497" t="s">
        <v>191</v>
      </c>
      <c r="B368" s="76">
        <v>2017</v>
      </c>
      <c r="C368" s="1401"/>
      <c r="D368" s="587">
        <v>13925</v>
      </c>
      <c r="E368" s="753"/>
      <c r="F368" s="593">
        <f t="shared" si="96"/>
        <v>0</v>
      </c>
      <c r="G368" s="1061"/>
      <c r="H368" s="983"/>
      <c r="I368" s="1000"/>
      <c r="J368" s="988"/>
      <c r="K368" s="1000"/>
      <c r="L368" s="988"/>
      <c r="M368" s="1000"/>
      <c r="N368" s="988"/>
      <c r="O368" s="1059"/>
      <c r="P368" s="227">
        <v>16348031</v>
      </c>
      <c r="Q368" s="408">
        <f t="shared" si="95"/>
        <v>5.4046753398008601E-2</v>
      </c>
      <c r="R368" s="1139"/>
      <c r="S368" s="227">
        <v>883558</v>
      </c>
      <c r="T368" s="575"/>
    </row>
    <row r="369" spans="1:20" x14ac:dyDescent="0.25">
      <c r="A369" s="497"/>
      <c r="B369" s="76">
        <v>2016</v>
      </c>
      <c r="C369" s="1401"/>
      <c r="D369" s="587">
        <v>11966</v>
      </c>
      <c r="E369" s="753"/>
      <c r="F369" s="593">
        <f t="shared" si="96"/>
        <v>0</v>
      </c>
      <c r="G369" s="1061"/>
      <c r="H369" s="983"/>
      <c r="I369" s="1000"/>
      <c r="J369" s="988"/>
      <c r="K369" s="1000"/>
      <c r="L369" s="988"/>
      <c r="M369" s="1000"/>
      <c r="N369" s="988"/>
      <c r="O369" s="1000"/>
      <c r="P369" s="227">
        <v>4467236</v>
      </c>
      <c r="Q369" s="408">
        <f t="shared" si="95"/>
        <v>9.9999194132568778E-3</v>
      </c>
      <c r="R369" s="1139"/>
      <c r="S369" s="227">
        <v>44672</v>
      </c>
      <c r="T369" s="575"/>
    </row>
    <row r="370" spans="1:20" x14ac:dyDescent="0.25">
      <c r="A370" s="735"/>
      <c r="B370" s="76">
        <v>2015</v>
      </c>
      <c r="C370" s="284"/>
      <c r="D370" s="587">
        <v>9674</v>
      </c>
      <c r="E370" s="753"/>
      <c r="F370" s="593">
        <f t="shared" si="96"/>
        <v>0</v>
      </c>
      <c r="G370" s="1061"/>
      <c r="H370" s="983"/>
      <c r="I370" s="1000"/>
      <c r="J370" s="988"/>
      <c r="K370" s="1000"/>
      <c r="L370" s="988"/>
      <c r="M370" s="1000"/>
      <c r="N370" s="988"/>
      <c r="O370" s="1000"/>
      <c r="P370" s="227">
        <v>3912383</v>
      </c>
      <c r="Q370" s="408">
        <f t="shared" si="95"/>
        <v>1.0000043451778622E-2</v>
      </c>
      <c r="R370" s="1139"/>
      <c r="S370" s="227">
        <v>39124</v>
      </c>
      <c r="T370" s="575"/>
    </row>
    <row r="371" spans="1:20" ht="15.75" thickBot="1" x14ac:dyDescent="0.3">
      <c r="A371" s="176"/>
      <c r="B371" s="77">
        <v>2014</v>
      </c>
      <c r="C371" s="285"/>
      <c r="D371" s="588">
        <v>15096</v>
      </c>
      <c r="E371" s="1185"/>
      <c r="F371" s="595">
        <f t="shared" si="96"/>
        <v>0</v>
      </c>
      <c r="G371" s="1062"/>
      <c r="H371" s="1060"/>
      <c r="I371" s="1043"/>
      <c r="J371" s="990"/>
      <c r="K371" s="1043"/>
      <c r="L371" s="990"/>
      <c r="M371" s="1043"/>
      <c r="N371" s="990"/>
      <c r="O371" s="1043"/>
      <c r="P371" s="228">
        <v>8405955</v>
      </c>
      <c r="Q371" s="1140">
        <f t="shared" si="95"/>
        <v>0.18189533491435536</v>
      </c>
      <c r="R371" s="1119"/>
      <c r="S371" s="245">
        <v>1529004</v>
      </c>
      <c r="T371" s="576"/>
    </row>
    <row r="372" spans="1:20" ht="15.75" thickBot="1" x14ac:dyDescent="0.3">
      <c r="P372" s="514">
        <f>SUM(P363:P371)</f>
        <v>66716408</v>
      </c>
      <c r="R372" s="229"/>
      <c r="S372" s="352">
        <f>SUM(S367:S371)</f>
        <v>2612680</v>
      </c>
    </row>
    <row r="373" spans="1:20" ht="15.75" thickBot="1" x14ac:dyDescent="0.3">
      <c r="A373" s="734"/>
      <c r="B373" s="582"/>
      <c r="C373" s="1073" t="s">
        <v>67</v>
      </c>
      <c r="D373" s="1028" t="s">
        <v>68</v>
      </c>
      <c r="E373" s="1028" t="s">
        <v>66</v>
      </c>
      <c r="F373" s="1005" t="s">
        <v>3</v>
      </c>
      <c r="G373" s="1068"/>
      <c r="H373" s="766"/>
      <c r="I373" s="1068"/>
      <c r="J373" s="1071"/>
      <c r="K373" s="1070"/>
      <c r="L373" s="1071"/>
      <c r="M373" s="1070"/>
      <c r="N373" s="1071"/>
      <c r="O373" s="1070"/>
      <c r="P373" s="1052" t="s">
        <v>40</v>
      </c>
      <c r="Q373" s="1010" t="s">
        <v>41</v>
      </c>
      <c r="R373" s="261" t="s">
        <v>113</v>
      </c>
      <c r="S373" s="261" t="s">
        <v>2</v>
      </c>
      <c r="T373" s="98" t="s">
        <v>42</v>
      </c>
    </row>
    <row r="374" spans="1:20" x14ac:dyDescent="0.25">
      <c r="A374" s="735" t="s">
        <v>199</v>
      </c>
      <c r="B374" s="113">
        <v>2023</v>
      </c>
      <c r="C374" s="744"/>
      <c r="D374" s="1342">
        <v>8592</v>
      </c>
      <c r="E374" s="746"/>
      <c r="F374" s="583"/>
      <c r="G374" s="1058"/>
      <c r="H374" s="865"/>
      <c r="I374" s="1058"/>
      <c r="J374" s="550"/>
      <c r="K374" s="569"/>
      <c r="L374" s="550"/>
      <c r="M374" s="569"/>
      <c r="N374" s="550"/>
      <c r="O374" s="569"/>
      <c r="P374" s="978">
        <v>4685090</v>
      </c>
      <c r="Q374" s="977">
        <f>+S374/P374</f>
        <v>1.0000021344307154E-2</v>
      </c>
      <c r="R374" s="868"/>
      <c r="S374" s="978">
        <v>46851</v>
      </c>
      <c r="T374" s="102"/>
    </row>
    <row r="375" spans="1:20" ht="15.75" thickBot="1" x14ac:dyDescent="0.3">
      <c r="A375" s="176"/>
      <c r="B375" s="113">
        <v>2022</v>
      </c>
      <c r="C375" s="748"/>
      <c r="D375" s="749">
        <v>5785</v>
      </c>
      <c r="E375" s="750"/>
      <c r="F375" s="632"/>
      <c r="G375" s="863"/>
      <c r="H375" s="849"/>
      <c r="I375" s="863"/>
      <c r="J375" s="833"/>
      <c r="K375" s="832"/>
      <c r="L375" s="833"/>
      <c r="M375" s="832"/>
      <c r="N375" s="833"/>
      <c r="O375" s="832"/>
      <c r="P375" s="610">
        <v>9861870</v>
      </c>
      <c r="Q375" s="544">
        <f t="shared" ref="Q375" si="97">+S375/P375</f>
        <v>9.9609810309809393E-2</v>
      </c>
      <c r="R375" s="1296"/>
      <c r="S375" s="610">
        <v>982339</v>
      </c>
      <c r="T375" s="630"/>
    </row>
    <row r="376" spans="1:20" ht="15.75" thickBot="1" x14ac:dyDescent="0.3">
      <c r="P376" s="514">
        <f>SUM(P375:P375)</f>
        <v>9861870</v>
      </c>
      <c r="R376" s="229"/>
      <c r="S376" s="352">
        <f>SUM(S372)</f>
        <v>2612680</v>
      </c>
    </row>
    <row r="377" spans="1:20" ht="15.75" thickBot="1" x14ac:dyDescent="0.3">
      <c r="A377" s="1343"/>
      <c r="B377" s="108"/>
      <c r="C377" s="1073" t="s">
        <v>70</v>
      </c>
      <c r="D377" s="1005" t="s">
        <v>71</v>
      </c>
      <c r="E377" s="1005" t="s">
        <v>66</v>
      </c>
      <c r="F377" s="1005" t="s">
        <v>3</v>
      </c>
      <c r="G377" s="1068"/>
      <c r="H377" s="766"/>
      <c r="I377" s="1068"/>
      <c r="J377" s="1071"/>
      <c r="K377" s="1070"/>
      <c r="L377" s="1071"/>
      <c r="M377" s="1070"/>
      <c r="N377" s="1071"/>
      <c r="O377" s="1075"/>
      <c r="P377" s="238" t="s">
        <v>40</v>
      </c>
      <c r="Q377" s="51" t="s">
        <v>41</v>
      </c>
      <c r="R377" s="224" t="s">
        <v>113</v>
      </c>
      <c r="S377" s="1056" t="s">
        <v>2</v>
      </c>
      <c r="T377" s="1027" t="s">
        <v>42</v>
      </c>
    </row>
    <row r="378" spans="1:20" x14ac:dyDescent="0.25">
      <c r="A378" s="175"/>
      <c r="B378" s="76">
        <v>2023</v>
      </c>
      <c r="C378" s="707"/>
      <c r="D378" s="858">
        <v>12490</v>
      </c>
      <c r="E378" s="583"/>
      <c r="F378" s="583"/>
      <c r="G378" s="1058"/>
      <c r="H378" s="865"/>
      <c r="I378" s="1058"/>
      <c r="J378" s="550"/>
      <c r="K378" s="569"/>
      <c r="L378" s="550"/>
      <c r="M378" s="569"/>
      <c r="N378" s="550"/>
      <c r="O378" s="569"/>
      <c r="P378" s="867">
        <v>12707884</v>
      </c>
      <c r="Q378" s="406">
        <f t="shared" ref="Q378:Q380" si="98">+S378/P378</f>
        <v>3.7476892297726355E-2</v>
      </c>
      <c r="R378" s="843"/>
      <c r="S378" s="1307">
        <v>476252</v>
      </c>
      <c r="T378" s="360"/>
    </row>
    <row r="379" spans="1:20" x14ac:dyDescent="0.25">
      <c r="A379" s="175"/>
      <c r="B379" s="113">
        <v>2022</v>
      </c>
      <c r="C379" s="691"/>
      <c r="D379" s="584">
        <v>15905</v>
      </c>
      <c r="E379" s="632"/>
      <c r="F379" s="632"/>
      <c r="G379" s="863"/>
      <c r="H379" s="849"/>
      <c r="I379" s="863"/>
      <c r="J379" s="833"/>
      <c r="K379" s="832"/>
      <c r="L379" s="833"/>
      <c r="M379" s="832"/>
      <c r="N379" s="833"/>
      <c r="O379" s="832"/>
      <c r="P379" s="458">
        <v>14762529</v>
      </c>
      <c r="Q379" s="406">
        <f t="shared" si="98"/>
        <v>4.3317916598165529E-2</v>
      </c>
      <c r="R379" s="1141"/>
      <c r="S379" s="1344">
        <v>639482</v>
      </c>
      <c r="T379" s="360"/>
    </row>
    <row r="380" spans="1:20" x14ac:dyDescent="0.25">
      <c r="A380" s="175"/>
      <c r="B380" s="113">
        <v>2021</v>
      </c>
      <c r="C380" s="691"/>
      <c r="D380" s="584">
        <v>16507</v>
      </c>
      <c r="E380" s="709"/>
      <c r="F380" s="709"/>
      <c r="G380" s="274"/>
      <c r="H380" s="987"/>
      <c r="I380" s="863"/>
      <c r="J380" s="833"/>
      <c r="K380" s="1041"/>
      <c r="L380" s="994"/>
      <c r="M380" s="1041"/>
      <c r="N380" s="994"/>
      <c r="O380" s="1041"/>
      <c r="P380" s="520">
        <v>12794227</v>
      </c>
      <c r="Q380" s="408">
        <f t="shared" si="98"/>
        <v>3.8573569157402003E-2</v>
      </c>
      <c r="R380" s="256"/>
      <c r="S380" s="1044">
        <v>493519</v>
      </c>
      <c r="T380" s="630"/>
    </row>
    <row r="381" spans="1:20" x14ac:dyDescent="0.25">
      <c r="A381" s="175"/>
      <c r="B381" s="114">
        <v>2020</v>
      </c>
      <c r="C381" s="690"/>
      <c r="D381" s="685">
        <v>15449</v>
      </c>
      <c r="E381" s="635"/>
      <c r="F381" s="741"/>
      <c r="G381" s="982"/>
      <c r="H381" s="678"/>
      <c r="I381" s="1038"/>
      <c r="J381" s="883"/>
      <c r="K381" s="999"/>
      <c r="L381" s="989"/>
      <c r="M381" s="999"/>
      <c r="N381" s="989"/>
      <c r="O381" s="999"/>
      <c r="P381" s="463">
        <v>10176909</v>
      </c>
      <c r="Q381" s="1095">
        <f t="shared" ref="Q381:Q387" si="99">+S381/P381</f>
        <v>4.7526709730822986E-2</v>
      </c>
      <c r="R381" s="463"/>
      <c r="S381" s="684">
        <v>483675</v>
      </c>
      <c r="T381" s="575"/>
    </row>
    <row r="382" spans="1:20" x14ac:dyDescent="0.25">
      <c r="A382" s="175"/>
      <c r="B382" s="114">
        <v>2019</v>
      </c>
      <c r="C382" s="690"/>
      <c r="D382" s="587">
        <v>21697</v>
      </c>
      <c r="E382" s="555"/>
      <c r="F382" s="593"/>
      <c r="G382" s="1061"/>
      <c r="H382" s="983"/>
      <c r="I382" s="1000"/>
      <c r="J382" s="988"/>
      <c r="K382" s="1000"/>
      <c r="L382" s="988"/>
      <c r="M382" s="1000"/>
      <c r="N382" s="988"/>
      <c r="O382" s="1000"/>
      <c r="P382" s="494">
        <v>13815098</v>
      </c>
      <c r="Q382" s="1031">
        <f t="shared" si="99"/>
        <v>5.9833089855750574E-2</v>
      </c>
      <c r="R382" s="256">
        <f t="shared" ref="R382:R387" si="100">+F382+I382</f>
        <v>0</v>
      </c>
      <c r="S382" s="1044">
        <v>826600</v>
      </c>
      <c r="T382" s="575"/>
    </row>
    <row r="383" spans="1:20" x14ac:dyDescent="0.25">
      <c r="A383" s="175"/>
      <c r="B383" s="114">
        <v>2018</v>
      </c>
      <c r="C383" s="690"/>
      <c r="D383" s="587">
        <v>22342</v>
      </c>
      <c r="E383" s="555">
        <v>883</v>
      </c>
      <c r="F383" s="593">
        <f>+D383*E383</f>
        <v>19727986</v>
      </c>
      <c r="G383" s="1061"/>
      <c r="H383" s="983"/>
      <c r="I383" s="1000"/>
      <c r="J383" s="988"/>
      <c r="K383" s="1000"/>
      <c r="L383" s="988"/>
      <c r="M383" s="1000"/>
      <c r="N383" s="988"/>
      <c r="O383" s="1059"/>
      <c r="P383" s="494">
        <v>13827359</v>
      </c>
      <c r="Q383" s="1031">
        <f t="shared" si="99"/>
        <v>5.5487674833639596E-2</v>
      </c>
      <c r="R383" s="256">
        <f t="shared" si="100"/>
        <v>19727986</v>
      </c>
      <c r="S383" s="1044">
        <v>767248</v>
      </c>
      <c r="T383" s="630">
        <f t="shared" ref="T383" si="101">+S383/R383</f>
        <v>3.8891349578208341E-2</v>
      </c>
    </row>
    <row r="384" spans="1:20" x14ac:dyDescent="0.25">
      <c r="A384" s="497" t="s">
        <v>69</v>
      </c>
      <c r="B384" s="114">
        <v>2017</v>
      </c>
      <c r="C384" s="693"/>
      <c r="D384" s="587">
        <v>23987</v>
      </c>
      <c r="E384" s="555"/>
      <c r="F384" s="593">
        <f>+D384*E384</f>
        <v>0</v>
      </c>
      <c r="G384" s="1061"/>
      <c r="H384" s="983"/>
      <c r="I384" s="1000"/>
      <c r="J384" s="988"/>
      <c r="K384" s="1000"/>
      <c r="L384" s="988"/>
      <c r="M384" s="1000"/>
      <c r="N384" s="988"/>
      <c r="O384" s="1059"/>
      <c r="P384" s="494">
        <v>16114653</v>
      </c>
      <c r="Q384" s="1031">
        <f t="shared" si="99"/>
        <v>6.5885129515354746E-2</v>
      </c>
      <c r="R384" s="256">
        <f t="shared" si="100"/>
        <v>0</v>
      </c>
      <c r="S384" s="1044">
        <v>1061716</v>
      </c>
      <c r="T384" s="575"/>
    </row>
    <row r="385" spans="1:20" x14ac:dyDescent="0.25">
      <c r="A385" s="497"/>
      <c r="B385" s="114">
        <v>2016</v>
      </c>
      <c r="C385" s="693"/>
      <c r="D385" s="587">
        <v>23749</v>
      </c>
      <c r="E385" s="555"/>
      <c r="F385" s="593">
        <f>+D385*E385</f>
        <v>0</v>
      </c>
      <c r="G385" s="1061"/>
      <c r="H385" s="983"/>
      <c r="I385" s="1000"/>
      <c r="J385" s="988"/>
      <c r="K385" s="1000"/>
      <c r="L385" s="988"/>
      <c r="M385" s="1000"/>
      <c r="N385" s="988"/>
      <c r="O385" s="1000"/>
      <c r="P385" s="494">
        <v>16021510</v>
      </c>
      <c r="Q385" s="1031">
        <f t="shared" si="99"/>
        <v>6.2103197513842329E-2</v>
      </c>
      <c r="R385" s="256">
        <f t="shared" si="100"/>
        <v>0</v>
      </c>
      <c r="S385" s="1044">
        <v>994987</v>
      </c>
      <c r="T385" s="575"/>
    </row>
    <row r="386" spans="1:20" x14ac:dyDescent="0.25">
      <c r="A386" s="735"/>
      <c r="B386" s="114">
        <v>2015</v>
      </c>
      <c r="C386" s="76"/>
      <c r="D386" s="587">
        <v>23493</v>
      </c>
      <c r="E386" s="555"/>
      <c r="F386" s="593">
        <f>+D386*E386</f>
        <v>0</v>
      </c>
      <c r="G386" s="1061"/>
      <c r="H386" s="983"/>
      <c r="I386" s="1000"/>
      <c r="J386" s="988"/>
      <c r="K386" s="1000"/>
      <c r="L386" s="988"/>
      <c r="M386" s="1000"/>
      <c r="N386" s="988"/>
      <c r="O386" s="1000"/>
      <c r="P386" s="494">
        <v>11705565</v>
      </c>
      <c r="Q386" s="1031">
        <f t="shared" si="99"/>
        <v>0.1080791913931536</v>
      </c>
      <c r="R386" s="256">
        <f t="shared" si="100"/>
        <v>0</v>
      </c>
      <c r="S386" s="1044">
        <v>1265128</v>
      </c>
      <c r="T386" s="575"/>
    </row>
    <row r="387" spans="1:20" ht="15.75" thickBot="1" x14ac:dyDescent="0.3">
      <c r="A387" s="176"/>
      <c r="B387" s="191">
        <v>2014</v>
      </c>
      <c r="C387" s="77"/>
      <c r="D387" s="588">
        <v>21861</v>
      </c>
      <c r="E387" s="556"/>
      <c r="F387" s="595">
        <f>+D387*E387</f>
        <v>0</v>
      </c>
      <c r="G387" s="1062"/>
      <c r="H387" s="1060"/>
      <c r="I387" s="1043"/>
      <c r="J387" s="990"/>
      <c r="K387" s="1043"/>
      <c r="L387" s="990"/>
      <c r="M387" s="1043"/>
      <c r="N387" s="990"/>
      <c r="O387" s="1043"/>
      <c r="P387" s="503">
        <v>11288888</v>
      </c>
      <c r="Q387" s="1096">
        <f t="shared" si="99"/>
        <v>9.9785204707496439E-2</v>
      </c>
      <c r="R387" s="257">
        <f t="shared" si="100"/>
        <v>0</v>
      </c>
      <c r="S387" s="1097">
        <v>1126464</v>
      </c>
      <c r="T387" s="1080"/>
    </row>
    <row r="388" spans="1:20" ht="15.75" thickBot="1" x14ac:dyDescent="0.3">
      <c r="P388" s="514">
        <f>SUM(P379:P387)</f>
        <v>120506738</v>
      </c>
      <c r="R388" s="229"/>
      <c r="S388" s="514">
        <f>SUM(S379:S387)</f>
        <v>7658819</v>
      </c>
    </row>
    <row r="389" spans="1:20" ht="15.75" thickBot="1" x14ac:dyDescent="0.3">
      <c r="A389" s="734"/>
      <c r="B389" s="622"/>
      <c r="C389" s="1066" t="s">
        <v>73</v>
      </c>
      <c r="D389" s="1005" t="s">
        <v>74</v>
      </c>
      <c r="E389" s="1067" t="s">
        <v>66</v>
      </c>
      <c r="F389" s="1005" t="s">
        <v>3</v>
      </c>
      <c r="G389" s="1068"/>
      <c r="H389" s="766"/>
      <c r="I389" s="1069"/>
      <c r="J389" s="1070"/>
      <c r="K389" s="1071"/>
      <c r="L389" s="1070"/>
      <c r="M389" s="1071"/>
      <c r="N389" s="1071"/>
      <c r="O389" s="1070"/>
      <c r="P389" s="238" t="s">
        <v>40</v>
      </c>
      <c r="Q389" s="51" t="s">
        <v>41</v>
      </c>
      <c r="R389" s="1055" t="s">
        <v>113</v>
      </c>
      <c r="S389" s="1056" t="s">
        <v>2</v>
      </c>
      <c r="T389" s="99" t="s">
        <v>42</v>
      </c>
    </row>
    <row r="390" spans="1:20" x14ac:dyDescent="0.25">
      <c r="A390" s="175"/>
      <c r="B390" s="76">
        <v>2023</v>
      </c>
      <c r="C390" s="1324"/>
      <c r="D390" s="858">
        <v>1234279</v>
      </c>
      <c r="E390" s="1173"/>
      <c r="F390" s="583"/>
      <c r="G390" s="1058"/>
      <c r="H390" s="865"/>
      <c r="I390" s="1058"/>
      <c r="J390" s="1058"/>
      <c r="K390" s="1058"/>
      <c r="L390" s="1058"/>
      <c r="M390" s="1058"/>
      <c r="N390" s="865"/>
      <c r="O390" s="1058"/>
      <c r="P390" s="867">
        <v>42515898</v>
      </c>
      <c r="Q390" s="83">
        <f t="shared" ref="Q390:Q399" si="102">+S390/P390</f>
        <v>0.14114851813785045</v>
      </c>
      <c r="R390" s="1057"/>
      <c r="S390" s="1307">
        <v>6001056</v>
      </c>
      <c r="T390" s="837"/>
    </row>
    <row r="391" spans="1:20" x14ac:dyDescent="0.25">
      <c r="A391" s="175"/>
      <c r="B391" s="113">
        <v>2022</v>
      </c>
      <c r="C391" s="691"/>
      <c r="D391" s="584">
        <v>1420880</v>
      </c>
      <c r="E391" s="632"/>
      <c r="F391" s="632"/>
      <c r="G391" s="863"/>
      <c r="H391" s="849"/>
      <c r="I391" s="863"/>
      <c r="J391" s="833"/>
      <c r="K391" s="832"/>
      <c r="L391" s="833"/>
      <c r="M391" s="832"/>
      <c r="N391" s="833"/>
      <c r="O391" s="832"/>
      <c r="P391" s="458">
        <v>30133574</v>
      </c>
      <c r="Q391" s="83">
        <f t="shared" si="102"/>
        <v>0.1168831815303422</v>
      </c>
      <c r="R391" s="864"/>
      <c r="S391" s="458">
        <v>3522108</v>
      </c>
      <c r="T391" s="837"/>
    </row>
    <row r="392" spans="1:20" x14ac:dyDescent="0.25">
      <c r="A392" s="175"/>
      <c r="B392" s="113">
        <v>2021</v>
      </c>
      <c r="C392" s="691"/>
      <c r="D392" s="584">
        <v>534478</v>
      </c>
      <c r="E392" s="632"/>
      <c r="F392" s="632"/>
      <c r="G392" s="274"/>
      <c r="H392" s="987"/>
      <c r="I392" s="274"/>
      <c r="J392" s="994"/>
      <c r="K392" s="1041"/>
      <c r="L392" s="994"/>
      <c r="M392" s="1041"/>
      <c r="N392" s="994"/>
      <c r="O392" s="1041"/>
      <c r="P392" s="458">
        <v>27726113</v>
      </c>
      <c r="Q392" s="83">
        <f t="shared" si="102"/>
        <v>2.7027769813965628E-2</v>
      </c>
      <c r="R392" s="864"/>
      <c r="S392" s="458">
        <v>749375</v>
      </c>
      <c r="T392" s="837"/>
    </row>
    <row r="393" spans="1:20" x14ac:dyDescent="0.25">
      <c r="A393" s="175"/>
      <c r="B393" s="114">
        <v>2020</v>
      </c>
      <c r="C393" s="690"/>
      <c r="D393" s="1063">
        <v>1119638</v>
      </c>
      <c r="E393" s="635"/>
      <c r="F393" s="635"/>
      <c r="G393" s="982"/>
      <c r="H393" s="678"/>
      <c r="I393" s="982"/>
      <c r="J393" s="989"/>
      <c r="K393" s="999"/>
      <c r="L393" s="989"/>
      <c r="M393" s="999"/>
      <c r="N393" s="989"/>
      <c r="O393" s="999"/>
      <c r="P393" s="520">
        <v>55062331</v>
      </c>
      <c r="Q393" s="65">
        <f t="shared" si="102"/>
        <v>4.0700038652559042E-2</v>
      </c>
      <c r="R393" s="761"/>
      <c r="S393" s="520">
        <v>2241039</v>
      </c>
      <c r="T393" s="688"/>
    </row>
    <row r="394" spans="1:20" x14ac:dyDescent="0.25">
      <c r="A394" s="175"/>
      <c r="B394" s="114">
        <v>2019</v>
      </c>
      <c r="C394" s="690"/>
      <c r="D394" s="1064">
        <v>1214653</v>
      </c>
      <c r="E394" s="555"/>
      <c r="F394" s="593">
        <f t="shared" ref="F394:F399" si="103">+D394*E394</f>
        <v>0</v>
      </c>
      <c r="G394" s="1061"/>
      <c r="H394" s="983"/>
      <c r="I394" s="1000"/>
      <c r="J394" s="988"/>
      <c r="K394" s="1000"/>
      <c r="L394" s="988"/>
      <c r="M394" s="1000"/>
      <c r="N394" s="988"/>
      <c r="O394" s="1000"/>
      <c r="P394" s="227">
        <v>85023374</v>
      </c>
      <c r="Q394" s="65">
        <f t="shared" si="102"/>
        <v>5.3587840444911064E-2</v>
      </c>
      <c r="R394" s="613">
        <f t="shared" ref="R394:R399" si="104">+F394+I394</f>
        <v>0</v>
      </c>
      <c r="S394" s="227">
        <v>4556219</v>
      </c>
      <c r="T394" s="688"/>
    </row>
    <row r="395" spans="1:20" x14ac:dyDescent="0.25">
      <c r="A395" s="175"/>
      <c r="B395" s="114">
        <v>2018</v>
      </c>
      <c r="C395" s="690"/>
      <c r="D395" s="587">
        <v>1325122</v>
      </c>
      <c r="E395" s="555"/>
      <c r="F395" s="593">
        <f t="shared" si="103"/>
        <v>0</v>
      </c>
      <c r="G395" s="1061"/>
      <c r="H395" s="983"/>
      <c r="I395" s="1000"/>
      <c r="J395" s="988"/>
      <c r="K395" s="1000"/>
      <c r="L395" s="988"/>
      <c r="M395" s="1000"/>
      <c r="N395" s="988"/>
      <c r="O395" s="1059"/>
      <c r="P395" s="227">
        <v>84992641</v>
      </c>
      <c r="Q395" s="65">
        <f t="shared" si="102"/>
        <v>3.9919926714596383E-2</v>
      </c>
      <c r="R395" s="613">
        <f t="shared" si="104"/>
        <v>0</v>
      </c>
      <c r="S395" s="227">
        <v>3392900</v>
      </c>
      <c r="T395" s="688"/>
    </row>
    <row r="396" spans="1:20" x14ac:dyDescent="0.25">
      <c r="A396" s="497" t="s">
        <v>72</v>
      </c>
      <c r="B396" s="114">
        <v>2017</v>
      </c>
      <c r="C396" s="693"/>
      <c r="D396" s="587">
        <v>1162041</v>
      </c>
      <c r="E396" s="555"/>
      <c r="F396" s="593">
        <f t="shared" si="103"/>
        <v>0</v>
      </c>
      <c r="G396" s="1061"/>
      <c r="H396" s="983"/>
      <c r="I396" s="1000"/>
      <c r="J396" s="988"/>
      <c r="K396" s="1000"/>
      <c r="L396" s="988"/>
      <c r="M396" s="1000"/>
      <c r="N396" s="988"/>
      <c r="O396" s="1059"/>
      <c r="P396" s="227">
        <v>67419730</v>
      </c>
      <c r="Q396" s="65">
        <f t="shared" si="102"/>
        <v>4.3220552796636828E-2</v>
      </c>
      <c r="R396" s="613">
        <f t="shared" si="104"/>
        <v>0</v>
      </c>
      <c r="S396" s="227">
        <v>2913918</v>
      </c>
      <c r="T396" s="688"/>
    </row>
    <row r="397" spans="1:20" x14ac:dyDescent="0.25">
      <c r="A397" s="497"/>
      <c r="B397" s="114">
        <v>2016</v>
      </c>
      <c r="C397" s="693"/>
      <c r="D397" s="587">
        <v>1213907</v>
      </c>
      <c r="E397" s="555"/>
      <c r="F397" s="593">
        <f t="shared" si="103"/>
        <v>0</v>
      </c>
      <c r="G397" s="1061"/>
      <c r="H397" s="983"/>
      <c r="I397" s="1000"/>
      <c r="J397" s="988"/>
      <c r="K397" s="1000"/>
      <c r="L397" s="988"/>
      <c r="M397" s="1000"/>
      <c r="N397" s="988"/>
      <c r="O397" s="1000"/>
      <c r="P397" s="227">
        <v>70337105</v>
      </c>
      <c r="Q397" s="65">
        <f t="shared" si="102"/>
        <v>4.633007002491786E-2</v>
      </c>
      <c r="R397" s="613">
        <f t="shared" si="104"/>
        <v>0</v>
      </c>
      <c r="S397" s="227">
        <v>3258723</v>
      </c>
      <c r="T397" s="688"/>
    </row>
    <row r="398" spans="1:20" x14ac:dyDescent="0.25">
      <c r="A398" s="735"/>
      <c r="B398" s="114">
        <v>2015</v>
      </c>
      <c r="C398" s="76"/>
      <c r="D398" s="587">
        <v>1177236</v>
      </c>
      <c r="E398" s="555"/>
      <c r="F398" s="593">
        <f t="shared" si="103"/>
        <v>0</v>
      </c>
      <c r="G398" s="1061"/>
      <c r="H398" s="983"/>
      <c r="I398" s="1000"/>
      <c r="J398" s="988"/>
      <c r="K398" s="1000"/>
      <c r="L398" s="988"/>
      <c r="M398" s="1000"/>
      <c r="N398" s="988"/>
      <c r="O398" s="1000"/>
      <c r="P398" s="227">
        <v>66275570</v>
      </c>
      <c r="Q398" s="65">
        <f t="shared" si="102"/>
        <v>4.2754351263972534E-2</v>
      </c>
      <c r="R398" s="613">
        <f t="shared" si="104"/>
        <v>0</v>
      </c>
      <c r="S398" s="227">
        <v>2833569</v>
      </c>
      <c r="T398" s="688"/>
    </row>
    <row r="399" spans="1:20" ht="15.75" thickBot="1" x14ac:dyDescent="0.3">
      <c r="A399" s="176"/>
      <c r="B399" s="191">
        <v>2014</v>
      </c>
      <c r="C399" s="77"/>
      <c r="D399" s="588">
        <v>1543880</v>
      </c>
      <c r="E399" s="556"/>
      <c r="F399" s="595">
        <f t="shared" si="103"/>
        <v>0</v>
      </c>
      <c r="G399" s="1062"/>
      <c r="H399" s="1060"/>
      <c r="I399" s="1043"/>
      <c r="J399" s="990"/>
      <c r="K399" s="1043"/>
      <c r="L399" s="990"/>
      <c r="M399" s="1043"/>
      <c r="N399" s="990"/>
      <c r="O399" s="1043"/>
      <c r="P399" s="228">
        <v>85024163</v>
      </c>
      <c r="Q399" s="763">
        <f t="shared" si="102"/>
        <v>3.1383078713753405E-2</v>
      </c>
      <c r="R399" s="762">
        <f t="shared" si="104"/>
        <v>0</v>
      </c>
      <c r="S399" s="228">
        <v>2668320</v>
      </c>
      <c r="T399" s="688"/>
    </row>
    <row r="400" spans="1:20" ht="15.75" thickBot="1" x14ac:dyDescent="0.3">
      <c r="P400" s="514">
        <f>SUM(P391:P399)</f>
        <v>571994601</v>
      </c>
      <c r="R400" s="229"/>
      <c r="S400" s="514">
        <f>SUM(S391:S399)</f>
        <v>26136171</v>
      </c>
    </row>
    <row r="401" spans="1:20" ht="15.75" thickBot="1" x14ac:dyDescent="0.3">
      <c r="A401" s="171"/>
      <c r="B401" s="79"/>
      <c r="C401" s="1023" t="s">
        <v>109</v>
      </c>
      <c r="D401" s="1028" t="s">
        <v>76</v>
      </c>
      <c r="E401" s="1005" t="s">
        <v>66</v>
      </c>
      <c r="F401" s="1005" t="s">
        <v>3</v>
      </c>
      <c r="G401" s="1051"/>
      <c r="H401" s="766"/>
      <c r="I401" s="1069"/>
      <c r="J401" s="1070"/>
      <c r="K401" s="1071"/>
      <c r="L401" s="1070"/>
      <c r="M401" s="1071"/>
      <c r="N401" s="1070"/>
      <c r="O401" s="1071"/>
      <c r="P401" s="238" t="s">
        <v>40</v>
      </c>
      <c r="Q401" s="86" t="s">
        <v>41</v>
      </c>
      <c r="R401" s="224" t="s">
        <v>113</v>
      </c>
      <c r="S401" s="224" t="s">
        <v>2</v>
      </c>
      <c r="T401" s="98" t="s">
        <v>42</v>
      </c>
    </row>
    <row r="402" spans="1:20" x14ac:dyDescent="0.25">
      <c r="A402" s="172"/>
      <c r="B402" s="1407">
        <v>2023</v>
      </c>
      <c r="C402" s="707"/>
      <c r="D402" s="1342">
        <v>11643652</v>
      </c>
      <c r="E402" s="583"/>
      <c r="F402" s="583"/>
      <c r="G402" s="1349"/>
      <c r="H402" s="1058"/>
      <c r="I402" s="1211"/>
      <c r="J402" s="569"/>
      <c r="K402" s="550"/>
      <c r="L402" s="569"/>
      <c r="M402" s="550"/>
      <c r="N402" s="569"/>
      <c r="O402" s="550"/>
      <c r="P402" s="1350">
        <v>858096674</v>
      </c>
      <c r="Q402" s="90">
        <f t="shared" ref="Q402:Q411" si="105">+S402/P402</f>
        <v>4.8913789403640086E-2</v>
      </c>
      <c r="R402" s="1295"/>
      <c r="S402" s="1351">
        <v>41972760</v>
      </c>
      <c r="T402" s="575"/>
    </row>
    <row r="403" spans="1:20" x14ac:dyDescent="0.25">
      <c r="A403" s="172"/>
      <c r="B403" s="961">
        <v>2022</v>
      </c>
      <c r="C403" s="691"/>
      <c r="D403" s="749">
        <v>10594410</v>
      </c>
      <c r="E403" s="709"/>
      <c r="F403" s="709"/>
      <c r="G403" s="14"/>
      <c r="H403" s="459"/>
      <c r="I403" s="987"/>
      <c r="J403" s="1041"/>
      <c r="K403" s="994"/>
      <c r="L403" s="1041"/>
      <c r="M403" s="994"/>
      <c r="N403" s="1041"/>
      <c r="O403" s="994"/>
      <c r="P403" s="610">
        <v>696998037</v>
      </c>
      <c r="Q403" s="359">
        <f t="shared" si="105"/>
        <v>3.9092361174038713E-2</v>
      </c>
      <c r="R403" s="974"/>
      <c r="S403" s="463">
        <v>27247299</v>
      </c>
      <c r="T403" s="575"/>
    </row>
    <row r="404" spans="1:20" x14ac:dyDescent="0.25">
      <c r="A404" s="173" t="s">
        <v>75</v>
      </c>
      <c r="B404" s="284">
        <v>2021</v>
      </c>
      <c r="C404" s="690"/>
      <c r="D404" s="747">
        <v>1932416</v>
      </c>
      <c r="E404" s="635"/>
      <c r="F404" s="635"/>
      <c r="G404" s="681"/>
      <c r="H404" s="519"/>
      <c r="I404" s="682"/>
      <c r="J404" s="1042"/>
      <c r="K404" s="883"/>
      <c r="L404" s="1042"/>
      <c r="M404" s="883"/>
      <c r="N404" s="1042"/>
      <c r="O404" s="883"/>
      <c r="P404" s="614">
        <v>1758519780</v>
      </c>
      <c r="Q404" s="91">
        <f t="shared" si="105"/>
        <v>7.811099628347655E-2</v>
      </c>
      <c r="R404" s="774"/>
      <c r="S404" s="520">
        <v>137359732</v>
      </c>
      <c r="T404" s="575"/>
    </row>
    <row r="405" spans="1:20" x14ac:dyDescent="0.25">
      <c r="A405" s="174" t="s">
        <v>110</v>
      </c>
      <c r="B405" s="284">
        <v>2020</v>
      </c>
      <c r="C405" s="780"/>
      <c r="D405" s="747">
        <v>7684505</v>
      </c>
      <c r="E405" s="555"/>
      <c r="F405" s="593">
        <f>+D405*E405</f>
        <v>0</v>
      </c>
      <c r="G405" s="681"/>
      <c r="H405" s="519"/>
      <c r="I405" s="682"/>
      <c r="J405" s="1038"/>
      <c r="K405" s="682"/>
      <c r="L405" s="1038"/>
      <c r="M405" s="682"/>
      <c r="N405" s="1038"/>
      <c r="O405" s="682"/>
      <c r="P405" s="614">
        <v>1457501994</v>
      </c>
      <c r="Q405" s="91">
        <f t="shared" si="105"/>
        <v>8.9630083895446119E-2</v>
      </c>
      <c r="R405" s="256">
        <f t="shared" ref="R405:R410" si="106">+F405+I405</f>
        <v>0</v>
      </c>
      <c r="S405" s="520">
        <v>130636026</v>
      </c>
      <c r="T405" s="575"/>
    </row>
    <row r="406" spans="1:20" x14ac:dyDescent="0.25">
      <c r="A406" s="174" t="s">
        <v>110</v>
      </c>
      <c r="B406" s="284">
        <v>2019</v>
      </c>
      <c r="C406" s="690"/>
      <c r="D406" s="759">
        <v>7810276</v>
      </c>
      <c r="E406" s="555"/>
      <c r="F406" s="593">
        <f>+D406*E406</f>
        <v>0</v>
      </c>
      <c r="G406" s="727"/>
      <c r="H406" s="437"/>
      <c r="I406" s="988"/>
      <c r="J406" s="1000"/>
      <c r="K406" s="988"/>
      <c r="L406" s="1000"/>
      <c r="M406" s="988"/>
      <c r="N406" s="1000"/>
      <c r="O406" s="988"/>
      <c r="P406" s="720">
        <v>1008942631</v>
      </c>
      <c r="Q406" s="91">
        <f t="shared" si="105"/>
        <v>4.3632680042835853E-2</v>
      </c>
      <c r="R406" s="256">
        <f t="shared" si="106"/>
        <v>0</v>
      </c>
      <c r="S406" s="227">
        <v>44022871</v>
      </c>
      <c r="T406" s="575"/>
    </row>
    <row r="407" spans="1:20" x14ac:dyDescent="0.25">
      <c r="A407" s="174" t="s">
        <v>111</v>
      </c>
      <c r="B407" s="284">
        <v>2018</v>
      </c>
      <c r="C407" s="690"/>
      <c r="D407" s="759">
        <v>7127600</v>
      </c>
      <c r="E407" s="555"/>
      <c r="F407" s="593">
        <f>+D407*E407</f>
        <v>0</v>
      </c>
      <c r="G407" s="727"/>
      <c r="H407" s="437"/>
      <c r="I407" s="988"/>
      <c r="J407" s="1000"/>
      <c r="K407" s="988"/>
      <c r="L407" s="1000"/>
      <c r="M407" s="988"/>
      <c r="N407" s="1000"/>
      <c r="O407" s="988"/>
      <c r="P407" s="720">
        <v>837276016</v>
      </c>
      <c r="Q407" s="91">
        <f t="shared" si="105"/>
        <v>4.1393611351217781E-2</v>
      </c>
      <c r="R407" s="256">
        <f t="shared" si="106"/>
        <v>0</v>
      </c>
      <c r="S407" s="227">
        <v>34657878</v>
      </c>
      <c r="T407" s="772"/>
    </row>
    <row r="408" spans="1:20" x14ac:dyDescent="0.25">
      <c r="A408" s="173"/>
      <c r="B408" s="284">
        <v>2017</v>
      </c>
      <c r="C408" s="169"/>
      <c r="D408" s="764"/>
      <c r="E408" s="131"/>
      <c r="F408" s="656"/>
      <c r="G408" s="654"/>
      <c r="H408" s="952"/>
      <c r="I408" s="656"/>
      <c r="J408" s="474"/>
      <c r="K408" s="656"/>
      <c r="L408" s="474"/>
      <c r="M408" s="656"/>
      <c r="N408" s="474"/>
      <c r="O408" s="656"/>
      <c r="P408" s="768"/>
      <c r="Q408" s="769" t="e">
        <f t="shared" si="105"/>
        <v>#DIV/0!</v>
      </c>
      <c r="R408" s="771">
        <f t="shared" si="106"/>
        <v>0</v>
      </c>
      <c r="S408" s="767"/>
      <c r="T408" s="773" t="e">
        <f t="shared" ref="T408:T411" si="107">+S408/R408</f>
        <v>#DIV/0!</v>
      </c>
    </row>
    <row r="409" spans="1:20" x14ac:dyDescent="0.25">
      <c r="A409" s="174"/>
      <c r="B409" s="284">
        <v>2016</v>
      </c>
      <c r="C409" s="1353"/>
      <c r="D409" s="759">
        <v>190861</v>
      </c>
      <c r="E409" s="555">
        <f>+$AF$126</f>
        <v>77.333333333333329</v>
      </c>
      <c r="F409" s="593">
        <f t="shared" ref="F409:F410" si="108">+D409*E409</f>
        <v>14759917.333333332</v>
      </c>
      <c r="G409" s="727"/>
      <c r="H409" s="437"/>
      <c r="I409" s="988"/>
      <c r="J409" s="1000"/>
      <c r="K409" s="988"/>
      <c r="L409" s="1000"/>
      <c r="M409" s="988"/>
      <c r="N409" s="1000"/>
      <c r="O409" s="988"/>
      <c r="P409" s="720">
        <v>1379268</v>
      </c>
      <c r="Q409" s="91">
        <f t="shared" si="105"/>
        <v>1.0000232007122618E-2</v>
      </c>
      <c r="R409" s="256">
        <f t="shared" si="106"/>
        <v>14759917.333333332</v>
      </c>
      <c r="S409" s="227">
        <v>13793</v>
      </c>
      <c r="T409" s="575">
        <f t="shared" si="107"/>
        <v>9.3449032867212094E-4</v>
      </c>
    </row>
    <row r="410" spans="1:20" ht="15.75" thickBot="1" x14ac:dyDescent="0.3">
      <c r="A410" s="174"/>
      <c r="B410" s="284">
        <v>2015</v>
      </c>
      <c r="C410" s="899"/>
      <c r="D410" s="760">
        <v>5935665</v>
      </c>
      <c r="E410" s="555">
        <f>+$AE$126</f>
        <v>71.083333333333329</v>
      </c>
      <c r="F410" s="593">
        <f t="shared" si="108"/>
        <v>421926853.75</v>
      </c>
      <c r="G410" s="727"/>
      <c r="H410" s="437"/>
      <c r="I410" s="988"/>
      <c r="J410" s="1000"/>
      <c r="K410" s="988"/>
      <c r="L410" s="1000"/>
      <c r="M410" s="988"/>
      <c r="N410" s="1000"/>
      <c r="O410" s="988"/>
      <c r="P410" s="720">
        <v>55107284</v>
      </c>
      <c r="Q410" s="91">
        <f t="shared" si="105"/>
        <v>1.0000002903427431E-2</v>
      </c>
      <c r="R410" s="256">
        <f t="shared" si="106"/>
        <v>421926853.75</v>
      </c>
      <c r="S410" s="227">
        <v>551073</v>
      </c>
      <c r="T410" s="575">
        <f t="shared" si="107"/>
        <v>1.3060865766238278E-3</v>
      </c>
    </row>
    <row r="411" spans="1:20" ht="15.75" thickBot="1" x14ac:dyDescent="0.3">
      <c r="A411" s="1065"/>
      <c r="B411" s="285">
        <v>2014</v>
      </c>
      <c r="C411" s="1352"/>
      <c r="D411" s="765"/>
      <c r="E411" s="134"/>
      <c r="F411" s="657"/>
      <c r="G411" s="766"/>
      <c r="H411" s="1053"/>
      <c r="I411" s="1054"/>
      <c r="J411" s="996"/>
      <c r="K411" s="657"/>
      <c r="L411" s="996"/>
      <c r="M411" s="657"/>
      <c r="N411" s="996"/>
      <c r="O411" s="657"/>
      <c r="P411" s="701"/>
      <c r="Q411" s="770" t="e">
        <f t="shared" si="105"/>
        <v>#DIV/0!</v>
      </c>
      <c r="R411" s="392"/>
      <c r="S411" s="223"/>
      <c r="T411" s="167" t="e">
        <f t="shared" si="107"/>
        <v>#DIV/0!</v>
      </c>
    </row>
    <row r="412" spans="1:20" ht="15.75" thickBot="1" x14ac:dyDescent="0.3">
      <c r="P412" s="312">
        <f>SUM(P407:P411)</f>
        <v>893762568</v>
      </c>
      <c r="R412" s="229"/>
      <c r="S412" s="312">
        <f>SUM(S407:S411)</f>
        <v>35222744</v>
      </c>
    </row>
    <row r="413" spans="1:20" ht="15.75" thickBot="1" x14ac:dyDescent="0.3">
      <c r="A413" s="171"/>
      <c r="B413" s="79"/>
      <c r="C413" s="1073" t="s">
        <v>78</v>
      </c>
      <c r="D413" s="696" t="s">
        <v>79</v>
      </c>
      <c r="E413" s="1005" t="s">
        <v>66</v>
      </c>
      <c r="F413" s="696" t="s">
        <v>3</v>
      </c>
      <c r="G413" s="1005" t="s">
        <v>80</v>
      </c>
      <c r="H413" s="696" t="s">
        <v>81</v>
      </c>
      <c r="I413" s="1005" t="s">
        <v>3</v>
      </c>
      <c r="J413" s="1074"/>
      <c r="K413" s="1071"/>
      <c r="L413" s="1071"/>
      <c r="M413" s="887"/>
      <c r="N413" s="1071"/>
      <c r="O413" s="887"/>
      <c r="P413" s="237" t="s">
        <v>40</v>
      </c>
      <c r="Q413" s="46" t="s">
        <v>41</v>
      </c>
      <c r="R413" s="391" t="s">
        <v>113</v>
      </c>
      <c r="S413" s="380" t="s">
        <v>2</v>
      </c>
      <c r="T413" s="44" t="s">
        <v>42</v>
      </c>
    </row>
    <row r="414" spans="1:20" ht="15.75" thickBot="1" x14ac:dyDescent="0.3">
      <c r="A414" s="172"/>
      <c r="B414" s="16">
        <v>2023</v>
      </c>
      <c r="C414" s="1072"/>
      <c r="D414" s="470"/>
      <c r="E414" s="470"/>
      <c r="F414" s="470"/>
      <c r="G414" s="470"/>
      <c r="H414" s="470"/>
      <c r="I414" s="470"/>
      <c r="J414" s="1377"/>
      <c r="K414" s="470"/>
      <c r="L414" s="470"/>
      <c r="M414" s="470"/>
      <c r="N414" s="470"/>
      <c r="O414" s="470"/>
      <c r="P414" s="469"/>
      <c r="Q414" s="144"/>
      <c r="R414" s="1378"/>
      <c r="S414" s="488"/>
      <c r="T414" s="1379"/>
    </row>
    <row r="415" spans="1:20" x14ac:dyDescent="0.25">
      <c r="A415" s="172"/>
      <c r="B415" s="79">
        <v>2022</v>
      </c>
      <c r="C415" s="1072"/>
      <c r="D415" s="470"/>
      <c r="E415" s="470"/>
      <c r="F415" s="470"/>
      <c r="G415" s="470"/>
      <c r="H415" s="470"/>
      <c r="I415" s="470"/>
      <c r="J415" s="1377"/>
      <c r="K415" s="470"/>
      <c r="L415" s="470"/>
      <c r="M415" s="470"/>
      <c r="N415" s="470"/>
      <c r="O415" s="470"/>
      <c r="P415" s="469"/>
      <c r="Q415" s="144"/>
      <c r="R415" s="1378"/>
      <c r="S415" s="488"/>
      <c r="T415" s="1379"/>
    </row>
    <row r="416" spans="1:20" x14ac:dyDescent="0.25">
      <c r="A416" s="172"/>
      <c r="B416" s="76">
        <v>2021</v>
      </c>
      <c r="C416" s="1072"/>
      <c r="D416" s="470"/>
      <c r="E416" s="470"/>
      <c r="F416" s="470"/>
      <c r="G416" s="470"/>
      <c r="H416" s="470"/>
      <c r="I416" s="470"/>
      <c r="J416" s="1377"/>
      <c r="K416" s="470"/>
      <c r="L416" s="470"/>
      <c r="M416" s="470"/>
      <c r="N416" s="470"/>
      <c r="O416" s="470"/>
      <c r="P416" s="469"/>
      <c r="Q416" s="144"/>
      <c r="R416" s="1378"/>
      <c r="S416" s="488"/>
      <c r="T416" s="1379"/>
    </row>
    <row r="417" spans="1:21" ht="15.75" thickBot="1" x14ac:dyDescent="0.3">
      <c r="A417" s="172"/>
      <c r="B417" s="16">
        <v>2020</v>
      </c>
      <c r="C417" s="1072"/>
      <c r="D417" s="505"/>
      <c r="E417" s="141"/>
      <c r="F417" s="505"/>
      <c r="G417" s="141"/>
      <c r="H417" s="505"/>
      <c r="I417" s="141"/>
      <c r="J417" s="506"/>
      <c r="K417" s="141"/>
      <c r="L417" s="141"/>
      <c r="M417" s="505"/>
      <c r="N417" s="141"/>
      <c r="O417" s="507"/>
      <c r="P417" s="508"/>
      <c r="Q417" s="509"/>
      <c r="R417" s="510"/>
      <c r="S417" s="511"/>
      <c r="T417" s="512"/>
    </row>
    <row r="418" spans="1:21" ht="15.75" thickBot="1" x14ac:dyDescent="0.3">
      <c r="A418" s="172"/>
      <c r="B418" s="209">
        <v>2019</v>
      </c>
      <c r="C418" s="422"/>
      <c r="D418" s="3">
        <v>48769</v>
      </c>
      <c r="E418" s="775">
        <f>+$AI$155</f>
        <v>3385.2758333333331</v>
      </c>
      <c r="F418" s="5">
        <f t="shared" ref="F418:F423" si="109">+D418*E418</f>
        <v>165096517.11583331</v>
      </c>
      <c r="G418" s="776">
        <v>6194</v>
      </c>
      <c r="H418" s="7">
        <f>+$AI$80</f>
        <v>7975.3608333333332</v>
      </c>
      <c r="I418" s="8">
        <f t="shared" ref="I418:I423" si="110">+G418*H418</f>
        <v>49399385.001666665</v>
      </c>
      <c r="J418" s="423"/>
      <c r="K418" s="178"/>
      <c r="L418" s="178"/>
      <c r="M418" s="178"/>
      <c r="N418" s="178"/>
      <c r="O418" s="179"/>
      <c r="P418" s="513">
        <v>14170600</v>
      </c>
      <c r="Q418" s="492">
        <f t="shared" ref="Q418:Q423" si="111">+S418/P418</f>
        <v>0.01</v>
      </c>
      <c r="R418" s="493">
        <f t="shared" ref="R418:R423" si="112">+F418+I418</f>
        <v>214495902.11749998</v>
      </c>
      <c r="S418" s="244">
        <v>141706</v>
      </c>
      <c r="T418" s="93">
        <f t="shared" ref="T418:T423" si="113">+S418/R418</f>
        <v>6.6064665385716338E-4</v>
      </c>
    </row>
    <row r="419" spans="1:21" ht="15.75" thickBot="1" x14ac:dyDescent="0.3">
      <c r="A419" s="173" t="s">
        <v>77</v>
      </c>
      <c r="B419" s="531">
        <v>2018</v>
      </c>
      <c r="C419" s="414"/>
      <c r="D419" s="53">
        <v>51389</v>
      </c>
      <c r="E419" s="490">
        <f>+$AH$155</f>
        <v>3770.6966666666663</v>
      </c>
      <c r="F419" s="54">
        <f t="shared" si="109"/>
        <v>193772331.0033333</v>
      </c>
      <c r="G419" s="777">
        <v>6766</v>
      </c>
      <c r="H419" s="415">
        <f>+$AH$80</f>
        <v>8453.1374999999989</v>
      </c>
      <c r="I419" s="67">
        <f t="shared" si="110"/>
        <v>57193928.324999996</v>
      </c>
      <c r="J419" s="421"/>
      <c r="K419" s="331"/>
      <c r="L419" s="331"/>
      <c r="M419" s="331"/>
      <c r="N419" s="331"/>
      <c r="O419" s="183"/>
      <c r="P419" s="494">
        <v>52849938</v>
      </c>
      <c r="Q419" s="491">
        <f t="shared" si="111"/>
        <v>9.9999928098307329E-3</v>
      </c>
      <c r="R419" s="160">
        <f t="shared" si="112"/>
        <v>250966259.32833329</v>
      </c>
      <c r="S419" s="159">
        <v>528499</v>
      </c>
      <c r="T419" s="93">
        <f t="shared" si="113"/>
        <v>2.1058567849496341E-3</v>
      </c>
      <c r="U419" s="35"/>
    </row>
    <row r="420" spans="1:21" ht="15.75" thickBot="1" x14ac:dyDescent="0.3">
      <c r="A420" s="173" t="s">
        <v>105</v>
      </c>
      <c r="B420" s="16">
        <v>2017</v>
      </c>
      <c r="C420" s="193"/>
      <c r="D420" s="3">
        <v>64440</v>
      </c>
      <c r="E420" s="4">
        <f>+$AG$155</f>
        <v>3744.7549999999997</v>
      </c>
      <c r="F420" s="5">
        <f t="shared" si="109"/>
        <v>241312012.19999999</v>
      </c>
      <c r="G420" s="6">
        <v>8754</v>
      </c>
      <c r="H420" s="7">
        <f>+$AG$80</f>
        <v>7993.8658333333324</v>
      </c>
      <c r="I420" s="8">
        <f t="shared" si="110"/>
        <v>69978301.504999995</v>
      </c>
      <c r="J420" s="178"/>
      <c r="K420" s="178"/>
      <c r="L420" s="178"/>
      <c r="M420" s="178"/>
      <c r="N420" s="178"/>
      <c r="O420" s="183"/>
      <c r="P420" s="494">
        <v>80191358</v>
      </c>
      <c r="Q420" s="491">
        <f t="shared" si="111"/>
        <v>1.0071584022807046E-2</v>
      </c>
      <c r="R420" s="160">
        <f t="shared" si="112"/>
        <v>311290313.70499998</v>
      </c>
      <c r="S420" s="159">
        <v>807654</v>
      </c>
      <c r="T420" s="93">
        <f t="shared" si="113"/>
        <v>2.5945362397796555E-3</v>
      </c>
      <c r="U420" s="36"/>
    </row>
    <row r="421" spans="1:21" ht="15.75" thickBot="1" x14ac:dyDescent="0.3">
      <c r="A421" s="173" t="s">
        <v>105</v>
      </c>
      <c r="B421" s="209">
        <v>2016</v>
      </c>
      <c r="C421" s="193"/>
      <c r="D421" s="3">
        <v>69006</v>
      </c>
      <c r="E421" s="4">
        <f>+$AF$155</f>
        <v>2739.9774999999995</v>
      </c>
      <c r="F421" s="5">
        <f t="shared" si="109"/>
        <v>189074887.36499998</v>
      </c>
      <c r="G421" s="6">
        <v>4867</v>
      </c>
      <c r="H421" s="7">
        <f>+$AF$80</f>
        <v>6450.1633333333339</v>
      </c>
      <c r="I421" s="8">
        <f t="shared" si="110"/>
        <v>31392944.943333335</v>
      </c>
      <c r="J421" s="178"/>
      <c r="K421" s="178"/>
      <c r="L421" s="178"/>
      <c r="M421" s="178"/>
      <c r="N421" s="178"/>
      <c r="O421" s="179"/>
      <c r="P421" s="494">
        <v>50507207</v>
      </c>
      <c r="Q421" s="491">
        <f t="shared" si="111"/>
        <v>9.999998614059178E-3</v>
      </c>
      <c r="R421" s="160">
        <f t="shared" si="112"/>
        <v>220467832.30833331</v>
      </c>
      <c r="S421" s="159">
        <v>505072</v>
      </c>
      <c r="T421" s="93">
        <f t="shared" si="113"/>
        <v>2.2909101736603285E-3</v>
      </c>
      <c r="U421" s="36"/>
    </row>
    <row r="422" spans="1:21" ht="15.75" thickBot="1" x14ac:dyDescent="0.3">
      <c r="A422" s="172"/>
      <c r="B422" s="209">
        <v>2015</v>
      </c>
      <c r="C422" s="161"/>
      <c r="D422" s="3">
        <v>72257</v>
      </c>
      <c r="E422" s="4">
        <f>+$AE$155</f>
        <v>2759.771666666667</v>
      </c>
      <c r="F422" s="5">
        <f t="shared" si="109"/>
        <v>199412821.31833336</v>
      </c>
      <c r="G422" s="6">
        <v>7743</v>
      </c>
      <c r="H422" s="7">
        <f>+$AE$80</f>
        <v>7025.8175000000001</v>
      </c>
      <c r="I422" s="8">
        <f t="shared" si="110"/>
        <v>54400904.902500004</v>
      </c>
      <c r="J422" s="178"/>
      <c r="K422" s="178"/>
      <c r="L422" s="178"/>
      <c r="M422" s="178"/>
      <c r="N422" s="178"/>
      <c r="O422" s="179"/>
      <c r="P422" s="494">
        <v>43780066</v>
      </c>
      <c r="Q422" s="491">
        <f t="shared" si="111"/>
        <v>1.0000007766091536E-2</v>
      </c>
      <c r="R422" s="160">
        <f t="shared" si="112"/>
        <v>253813726.22083336</v>
      </c>
      <c r="S422" s="159">
        <v>437801</v>
      </c>
      <c r="T422" s="93">
        <f t="shared" si="113"/>
        <v>1.7248909525842055E-3</v>
      </c>
      <c r="U422" s="36"/>
    </row>
    <row r="423" spans="1:21" ht="15.75" thickBot="1" x14ac:dyDescent="0.3">
      <c r="A423" s="182"/>
      <c r="B423" s="210">
        <v>2014</v>
      </c>
      <c r="C423" s="162"/>
      <c r="D423" s="19">
        <v>74028</v>
      </c>
      <c r="E423" s="20">
        <f>+$AD$155</f>
        <v>2387.4058333333332</v>
      </c>
      <c r="F423" s="21">
        <f t="shared" si="109"/>
        <v>176734879.03</v>
      </c>
      <c r="G423" s="22">
        <v>8577</v>
      </c>
      <c r="H423" s="23">
        <f>+$AD$80</f>
        <v>7578.9708333333338</v>
      </c>
      <c r="I423" s="24">
        <f t="shared" si="110"/>
        <v>65004832.837500006</v>
      </c>
      <c r="J423" s="181"/>
      <c r="K423" s="181"/>
      <c r="L423" s="181"/>
      <c r="M423" s="181"/>
      <c r="N423" s="181"/>
      <c r="O423" s="185"/>
      <c r="P423" s="503">
        <v>39206150</v>
      </c>
      <c r="Q423" s="495">
        <f t="shared" si="111"/>
        <v>1.0000012753101235E-2</v>
      </c>
      <c r="R423" s="249">
        <f t="shared" si="112"/>
        <v>241739711.86750001</v>
      </c>
      <c r="S423" s="231">
        <v>392062</v>
      </c>
      <c r="T423" s="504">
        <f t="shared" si="113"/>
        <v>1.6218353077829975E-3</v>
      </c>
      <c r="U423" s="35"/>
    </row>
    <row r="424" spans="1:21" ht="15.75" thickBot="1" x14ac:dyDescent="0.3">
      <c r="P424" s="514">
        <f>SUM(P419:P423)</f>
        <v>266534719</v>
      </c>
      <c r="R424" s="229"/>
      <c r="S424" s="514">
        <f>SUM(S419:S423)</f>
        <v>2671088</v>
      </c>
      <c r="U424" s="35"/>
    </row>
    <row r="425" spans="1:21" ht="15.75" thickBot="1" x14ac:dyDescent="0.3">
      <c r="A425" s="734"/>
      <c r="B425" s="79"/>
      <c r="C425" s="1023" t="s">
        <v>83</v>
      </c>
      <c r="D425" s="48" t="s">
        <v>106</v>
      </c>
      <c r="E425" s="48" t="s">
        <v>81</v>
      </c>
      <c r="F425" s="48" t="s">
        <v>3</v>
      </c>
      <c r="G425" s="1024"/>
      <c r="H425" s="1024"/>
      <c r="I425" s="1025"/>
      <c r="J425" s="71"/>
      <c r="K425" s="50"/>
      <c r="L425" s="50"/>
      <c r="M425" s="50"/>
      <c r="N425" s="50"/>
      <c r="O425" s="69"/>
      <c r="P425" s="238" t="s">
        <v>40</v>
      </c>
      <c r="Q425" s="51" t="s">
        <v>41</v>
      </c>
      <c r="R425" s="259" t="s">
        <v>113</v>
      </c>
      <c r="S425" s="1026" t="s">
        <v>2</v>
      </c>
      <c r="T425" s="44" t="s">
        <v>42</v>
      </c>
      <c r="U425" s="35"/>
    </row>
    <row r="426" spans="1:21" x14ac:dyDescent="0.25">
      <c r="A426" s="175"/>
      <c r="B426" s="319">
        <v>2023</v>
      </c>
      <c r="C426" s="744"/>
      <c r="D426" s="858">
        <v>1489294</v>
      </c>
      <c r="E426" s="1173"/>
      <c r="F426" s="583"/>
      <c r="G426" s="1058"/>
      <c r="H426" s="865"/>
      <c r="I426" s="1211"/>
      <c r="J426" s="569"/>
      <c r="K426" s="550"/>
      <c r="L426" s="569"/>
      <c r="M426" s="550"/>
      <c r="N426" s="569"/>
      <c r="O426" s="550"/>
      <c r="P426" s="1358">
        <v>109127231</v>
      </c>
      <c r="Q426" s="1046">
        <f t="shared" ref="Q426:Q435" si="114">+S426/P426</f>
        <v>1.8007320281039661E-2</v>
      </c>
      <c r="R426" s="1357"/>
      <c r="S426" s="1350">
        <v>1965089</v>
      </c>
      <c r="T426" s="1439"/>
      <c r="U426" s="1437"/>
    </row>
    <row r="427" spans="1:21" x14ac:dyDescent="0.25">
      <c r="A427" s="175"/>
      <c r="B427" s="80">
        <v>2022</v>
      </c>
      <c r="C427" s="414"/>
      <c r="D427" s="584">
        <v>1669725</v>
      </c>
      <c r="E427" s="641"/>
      <c r="F427" s="709"/>
      <c r="G427" s="274"/>
      <c r="H427" s="987"/>
      <c r="I427" s="1310"/>
      <c r="J427" s="1041"/>
      <c r="K427" s="994"/>
      <c r="L427" s="1041"/>
      <c r="M427" s="994"/>
      <c r="N427" s="1041"/>
      <c r="O427" s="994"/>
      <c r="P427" s="684">
        <v>117895486</v>
      </c>
      <c r="Q427" s="1046">
        <f t="shared" si="114"/>
        <v>1.9642982768653245E-2</v>
      </c>
      <c r="R427" s="276"/>
      <c r="S427" s="731">
        <v>2315819</v>
      </c>
      <c r="T427" s="1439"/>
      <c r="U427" s="157"/>
    </row>
    <row r="428" spans="1:21" x14ac:dyDescent="0.25">
      <c r="A428" s="175"/>
      <c r="B428" s="76">
        <v>2021</v>
      </c>
      <c r="C428" s="422"/>
      <c r="D428" s="685">
        <v>1932416</v>
      </c>
      <c r="E428" s="895"/>
      <c r="F428" s="635"/>
      <c r="G428" s="1038"/>
      <c r="H428" s="682"/>
      <c r="I428" s="1032"/>
      <c r="J428" s="1042"/>
      <c r="K428" s="883"/>
      <c r="L428" s="1042"/>
      <c r="M428" s="883"/>
      <c r="N428" s="1042"/>
      <c r="O428" s="883"/>
      <c r="P428" s="1050">
        <v>102059422</v>
      </c>
      <c r="Q428" s="1046">
        <f t="shared" si="114"/>
        <v>1.6484288927287871E-2</v>
      </c>
      <c r="R428" s="1049"/>
      <c r="S428" s="614">
        <v>1682377</v>
      </c>
      <c r="T428" s="1439"/>
      <c r="U428" s="157"/>
    </row>
    <row r="429" spans="1:21" x14ac:dyDescent="0.25">
      <c r="A429" s="175"/>
      <c r="B429" s="80">
        <v>2020</v>
      </c>
      <c r="C429" s="115"/>
      <c r="D429" s="646">
        <v>1740887</v>
      </c>
      <c r="E429" s="1355"/>
      <c r="F429" s="709"/>
      <c r="G429" s="274"/>
      <c r="H429" s="987"/>
      <c r="I429" s="1310"/>
      <c r="J429" s="14"/>
      <c r="K429" s="994"/>
      <c r="L429" s="1041"/>
      <c r="M429" s="994"/>
      <c r="N429" s="1041"/>
      <c r="O429" s="994"/>
      <c r="P429" s="684">
        <v>95469903</v>
      </c>
      <c r="Q429" s="1046">
        <f t="shared" si="114"/>
        <v>1.4861186147848081E-2</v>
      </c>
      <c r="R429" s="276"/>
      <c r="S429" s="731">
        <v>1418796</v>
      </c>
      <c r="T429" s="1439"/>
      <c r="U429" s="157"/>
    </row>
    <row r="430" spans="1:21" ht="15.75" thickBot="1" x14ac:dyDescent="0.3">
      <c r="A430" s="175"/>
      <c r="B430" s="76">
        <v>2019</v>
      </c>
      <c r="C430" s="422"/>
      <c r="D430" s="587">
        <v>1986082</v>
      </c>
      <c r="E430" s="753"/>
      <c r="F430" s="593">
        <f t="shared" ref="F430:F435" si="115">+D430*E430</f>
        <v>0</v>
      </c>
      <c r="G430" s="1061"/>
      <c r="H430" s="983"/>
      <c r="I430" s="1319"/>
      <c r="J430" s="1000"/>
      <c r="K430" s="988"/>
      <c r="L430" s="1000"/>
      <c r="M430" s="988"/>
      <c r="N430" s="1000"/>
      <c r="O430" s="988"/>
      <c r="P430" s="1044">
        <v>103897863</v>
      </c>
      <c r="Q430" s="91">
        <f t="shared" si="114"/>
        <v>1.6900395728062279E-2</v>
      </c>
      <c r="R430" s="375">
        <f t="shared" ref="R430:R435" si="116">+F430+I430</f>
        <v>0</v>
      </c>
      <c r="S430" s="227">
        <v>1755915</v>
      </c>
      <c r="T430" s="1438"/>
      <c r="U430" s="157"/>
    </row>
    <row r="431" spans="1:21" ht="15.75" thickBot="1" x14ac:dyDescent="0.3">
      <c r="A431" s="175"/>
      <c r="B431" s="319">
        <v>2018</v>
      </c>
      <c r="C431" s="414"/>
      <c r="D431" s="587">
        <v>1707503</v>
      </c>
      <c r="E431" s="753"/>
      <c r="F431" s="593">
        <f t="shared" si="115"/>
        <v>0</v>
      </c>
      <c r="G431" s="1061"/>
      <c r="H431" s="983"/>
      <c r="I431" s="1319"/>
      <c r="J431" s="1000"/>
      <c r="K431" s="988"/>
      <c r="L431" s="1000"/>
      <c r="M431" s="988"/>
      <c r="N431" s="1000"/>
      <c r="O431" s="568"/>
      <c r="P431" s="1044">
        <v>81934031</v>
      </c>
      <c r="Q431" s="91">
        <f t="shared" si="114"/>
        <v>1.0708139088140311E-2</v>
      </c>
      <c r="R431" s="375">
        <f t="shared" si="116"/>
        <v>0</v>
      </c>
      <c r="S431" s="227">
        <v>877361</v>
      </c>
      <c r="T431" s="93"/>
      <c r="U431" s="35"/>
    </row>
    <row r="432" spans="1:21" ht="15.75" thickBot="1" x14ac:dyDescent="0.3">
      <c r="A432" s="497" t="s">
        <v>82</v>
      </c>
      <c r="B432" s="80">
        <v>2017</v>
      </c>
      <c r="C432" s="745"/>
      <c r="D432" s="587">
        <v>1616376</v>
      </c>
      <c r="E432" s="753"/>
      <c r="F432" s="593">
        <f t="shared" si="115"/>
        <v>0</v>
      </c>
      <c r="G432" s="1061"/>
      <c r="H432" s="983"/>
      <c r="I432" s="1319"/>
      <c r="J432" s="1000"/>
      <c r="K432" s="988"/>
      <c r="L432" s="1000"/>
      <c r="M432" s="988"/>
      <c r="N432" s="1000"/>
      <c r="O432" s="568"/>
      <c r="P432" s="1044">
        <v>91116972</v>
      </c>
      <c r="Q432" s="91">
        <f t="shared" si="114"/>
        <v>1.3660232256181647E-2</v>
      </c>
      <c r="R432" s="375">
        <f t="shared" si="116"/>
        <v>0</v>
      </c>
      <c r="S432" s="227">
        <v>1244679</v>
      </c>
      <c r="T432" s="93"/>
    </row>
    <row r="433" spans="1:20" ht="15.75" thickBot="1" x14ac:dyDescent="0.3">
      <c r="A433" s="497"/>
      <c r="B433" s="76">
        <v>2016</v>
      </c>
      <c r="C433" s="745"/>
      <c r="D433" s="587">
        <v>1677476</v>
      </c>
      <c r="E433" s="753"/>
      <c r="F433" s="593">
        <f t="shared" si="115"/>
        <v>0</v>
      </c>
      <c r="G433" s="1061"/>
      <c r="H433" s="983"/>
      <c r="I433" s="1319"/>
      <c r="J433" s="1000"/>
      <c r="K433" s="988"/>
      <c r="L433" s="1000"/>
      <c r="M433" s="988"/>
      <c r="N433" s="1000"/>
      <c r="O433" s="988"/>
      <c r="P433" s="1044">
        <v>83612643</v>
      </c>
      <c r="Q433" s="91">
        <f t="shared" si="114"/>
        <v>1.1296210311160718E-2</v>
      </c>
      <c r="R433" s="375">
        <f t="shared" si="116"/>
        <v>0</v>
      </c>
      <c r="S433" s="227">
        <v>944506</v>
      </c>
      <c r="T433" s="93"/>
    </row>
    <row r="434" spans="1:20" ht="15.75" thickBot="1" x14ac:dyDescent="0.3">
      <c r="A434" s="735"/>
      <c r="B434" s="76">
        <v>2015</v>
      </c>
      <c r="C434" s="114"/>
      <c r="D434" s="587">
        <v>35812</v>
      </c>
      <c r="E434" s="753"/>
      <c r="F434" s="593">
        <f t="shared" si="115"/>
        <v>0</v>
      </c>
      <c r="G434" s="1061"/>
      <c r="H434" s="983"/>
      <c r="I434" s="1319"/>
      <c r="J434" s="1000"/>
      <c r="K434" s="988"/>
      <c r="L434" s="1000"/>
      <c r="M434" s="988"/>
      <c r="N434" s="1000"/>
      <c r="O434" s="988"/>
      <c r="P434" s="1044">
        <v>78657720</v>
      </c>
      <c r="Q434" s="91">
        <f t="shared" si="114"/>
        <v>9.9999974573379453E-3</v>
      </c>
      <c r="R434" s="375">
        <f t="shared" si="116"/>
        <v>0</v>
      </c>
      <c r="S434" s="227">
        <v>786577</v>
      </c>
      <c r="T434" s="93"/>
    </row>
    <row r="435" spans="1:20" ht="15.75" thickBot="1" x14ac:dyDescent="0.3">
      <c r="A435" s="176"/>
      <c r="B435" s="77">
        <v>2014</v>
      </c>
      <c r="C435" s="191"/>
      <c r="D435" s="588">
        <v>2005480</v>
      </c>
      <c r="E435" s="1185"/>
      <c r="F435" s="595">
        <f t="shared" si="115"/>
        <v>0</v>
      </c>
      <c r="G435" s="1062"/>
      <c r="H435" s="1060"/>
      <c r="I435" s="1356"/>
      <c r="J435" s="1043"/>
      <c r="K435" s="990"/>
      <c r="L435" s="1043"/>
      <c r="M435" s="990"/>
      <c r="N435" s="1043"/>
      <c r="O435" s="990"/>
      <c r="P435" s="1045">
        <v>98188541</v>
      </c>
      <c r="Q435" s="1047">
        <f t="shared" si="114"/>
        <v>1.5557232895435324E-2</v>
      </c>
      <c r="R435" s="1048">
        <f t="shared" si="116"/>
        <v>0</v>
      </c>
      <c r="S435" s="502">
        <v>1527542</v>
      </c>
      <c r="T435" s="504"/>
    </row>
    <row r="436" spans="1:20" ht="15.75" thickBot="1" x14ac:dyDescent="0.3">
      <c r="P436" s="514">
        <f>SUM(P427:P435)</f>
        <v>852832581</v>
      </c>
      <c r="R436" s="229"/>
      <c r="S436" s="514">
        <f>SUM(S427:S435)</f>
        <v>12553572</v>
      </c>
    </row>
    <row r="437" spans="1:20" ht="15.75" thickBot="1" x14ac:dyDescent="0.3">
      <c r="A437" s="171"/>
      <c r="B437" s="79"/>
      <c r="C437" s="192" t="s">
        <v>85</v>
      </c>
      <c r="D437" s="42" t="s">
        <v>102</v>
      </c>
      <c r="E437" s="42" t="s">
        <v>103</v>
      </c>
      <c r="F437" s="42" t="s">
        <v>3</v>
      </c>
      <c r="G437" s="420"/>
      <c r="H437" s="985"/>
      <c r="I437" s="980"/>
      <c r="J437" s="887"/>
      <c r="K437" s="886"/>
      <c r="L437" s="887"/>
      <c r="M437" s="886"/>
      <c r="N437" s="887"/>
      <c r="O437" s="886"/>
      <c r="P437" s="237" t="s">
        <v>40</v>
      </c>
      <c r="Q437" s="46" t="s">
        <v>41</v>
      </c>
      <c r="R437" s="391" t="s">
        <v>113</v>
      </c>
      <c r="S437" s="380" t="s">
        <v>2</v>
      </c>
      <c r="T437" s="44" t="s">
        <v>42</v>
      </c>
    </row>
    <row r="438" spans="1:20" ht="15.75" thickBot="1" x14ac:dyDescent="0.3">
      <c r="A438" s="172"/>
      <c r="B438" s="319">
        <v>2023</v>
      </c>
      <c r="C438" s="707"/>
      <c r="D438" s="1298">
        <v>1969129</v>
      </c>
      <c r="E438" s="583"/>
      <c r="F438" s="1173"/>
      <c r="G438" s="865"/>
      <c r="H438" s="1058"/>
      <c r="I438" s="865"/>
      <c r="J438" s="569"/>
      <c r="K438" s="550"/>
      <c r="L438" s="569"/>
      <c r="M438" s="550"/>
      <c r="N438" s="569"/>
      <c r="O438" s="550"/>
      <c r="P438" s="1351">
        <v>41937518</v>
      </c>
      <c r="Q438" s="84">
        <f t="shared" ref="Q438:Q443" si="117">+S438/P438</f>
        <v>9.9999957079005015E-3</v>
      </c>
      <c r="R438" s="1361"/>
      <c r="S438" s="1362">
        <v>419375</v>
      </c>
      <c r="T438" s="63"/>
    </row>
    <row r="439" spans="1:20" ht="15.75" thickBot="1" x14ac:dyDescent="0.3">
      <c r="A439" s="172"/>
      <c r="B439" s="319">
        <v>2022</v>
      </c>
      <c r="C439" s="692"/>
      <c r="D439" s="1037">
        <v>1893873</v>
      </c>
      <c r="E439" s="709"/>
      <c r="F439" s="641"/>
      <c r="G439" s="987"/>
      <c r="H439" s="274"/>
      <c r="I439" s="987"/>
      <c r="J439" s="1277"/>
      <c r="K439" s="994"/>
      <c r="L439" s="1041"/>
      <c r="M439" s="994"/>
      <c r="N439" s="1041"/>
      <c r="O439" s="994"/>
      <c r="P439" s="463">
        <v>60176597</v>
      </c>
      <c r="Q439" s="1359">
        <f t="shared" si="117"/>
        <v>1.0000000498532677E-2</v>
      </c>
      <c r="R439" s="1360"/>
      <c r="S439" s="684">
        <v>601766</v>
      </c>
      <c r="T439" s="63"/>
    </row>
    <row r="440" spans="1:20" ht="15.75" thickBot="1" x14ac:dyDescent="0.3">
      <c r="A440" s="172"/>
      <c r="B440" s="80">
        <v>2020</v>
      </c>
      <c r="C440" s="979"/>
      <c r="D440" s="1365">
        <v>960418</v>
      </c>
      <c r="E440" s="741"/>
      <c r="F440" s="1368"/>
      <c r="G440" s="678"/>
      <c r="H440" s="982"/>
      <c r="I440" s="678"/>
      <c r="J440" s="991"/>
      <c r="K440" s="989"/>
      <c r="L440" s="999"/>
      <c r="M440" s="989"/>
      <c r="N440" s="999"/>
      <c r="O440" s="989"/>
      <c r="P440" s="498">
        <v>8947643</v>
      </c>
      <c r="Q440" s="381">
        <f t="shared" si="117"/>
        <v>9.9999519426512661E-3</v>
      </c>
      <c r="R440" s="501"/>
      <c r="S440" s="500">
        <v>89476</v>
      </c>
      <c r="T440" s="63"/>
    </row>
    <row r="441" spans="1:20" ht="15.75" thickBot="1" x14ac:dyDescent="0.3">
      <c r="A441" s="172"/>
      <c r="B441" s="76">
        <v>2019</v>
      </c>
      <c r="C441" s="690"/>
      <c r="D441" s="698">
        <v>1950202</v>
      </c>
      <c r="E441" s="555"/>
      <c r="F441" s="896">
        <f t="shared" ref="F441:F446" si="118">+D441*E441</f>
        <v>0</v>
      </c>
      <c r="G441" s="726"/>
      <c r="H441" s="1039"/>
      <c r="I441" s="988"/>
      <c r="J441" s="992"/>
      <c r="K441" s="988"/>
      <c r="L441" s="1000"/>
      <c r="M441" s="988"/>
      <c r="N441" s="1000"/>
      <c r="O441" s="988"/>
      <c r="P441" s="494">
        <v>46883797</v>
      </c>
      <c r="Q441" s="491">
        <f t="shared" si="117"/>
        <v>1.0000000639879915E-2</v>
      </c>
      <c r="R441" s="160">
        <f>+F441+I441</f>
        <v>0</v>
      </c>
      <c r="S441" s="159">
        <v>468838</v>
      </c>
      <c r="T441" s="93"/>
    </row>
    <row r="442" spans="1:20" ht="15.75" thickBot="1" x14ac:dyDescent="0.3">
      <c r="A442" s="172"/>
      <c r="B442" s="319">
        <v>2018</v>
      </c>
      <c r="C442" s="692"/>
      <c r="D442" s="698">
        <v>1277834</v>
      </c>
      <c r="E442" s="555"/>
      <c r="F442" s="896">
        <f t="shared" si="118"/>
        <v>0</v>
      </c>
      <c r="G442" s="726"/>
      <c r="H442" s="1312"/>
      <c r="I442" s="988"/>
      <c r="J442" s="992"/>
      <c r="K442" s="988"/>
      <c r="L442" s="1000"/>
      <c r="M442" s="988"/>
      <c r="N442" s="1000"/>
      <c r="O442" s="568"/>
      <c r="P442" s="494">
        <v>51275806</v>
      </c>
      <c r="Q442" s="491">
        <f t="shared" si="117"/>
        <v>9.9999988298574965E-3</v>
      </c>
      <c r="R442" s="160">
        <f>+F442+I442</f>
        <v>0</v>
      </c>
      <c r="S442" s="159">
        <v>512758</v>
      </c>
      <c r="T442" s="93"/>
    </row>
    <row r="443" spans="1:20" ht="15.75" thickBot="1" x14ac:dyDescent="0.3">
      <c r="A443" s="173" t="s">
        <v>84</v>
      </c>
      <c r="B443" s="80">
        <v>2017</v>
      </c>
      <c r="C443" s="693"/>
      <c r="D443" s="698">
        <v>1374751</v>
      </c>
      <c r="E443" s="555"/>
      <c r="F443" s="896">
        <f t="shared" si="118"/>
        <v>0</v>
      </c>
      <c r="G443" s="726"/>
      <c r="H443" s="1263"/>
      <c r="I443" s="988"/>
      <c r="J443" s="993"/>
      <c r="K443" s="990"/>
      <c r="L443" s="1000"/>
      <c r="M443" s="988"/>
      <c r="N443" s="1000"/>
      <c r="O443" s="568"/>
      <c r="P443" s="502">
        <v>63451250</v>
      </c>
      <c r="Q443" s="204">
        <f t="shared" si="117"/>
        <v>1.0000007880065404E-2</v>
      </c>
      <c r="R443" s="518"/>
      <c r="S443" s="502">
        <v>634513</v>
      </c>
      <c r="T443" s="203"/>
    </row>
    <row r="444" spans="1:20" ht="15.75" thickBot="1" x14ac:dyDescent="0.3">
      <c r="A444" s="173"/>
      <c r="B444" s="76">
        <v>2016</v>
      </c>
      <c r="C444" s="169"/>
      <c r="D444" s="1366"/>
      <c r="E444" s="131"/>
      <c r="F444" s="474">
        <f t="shared" si="118"/>
        <v>0</v>
      </c>
      <c r="G444" s="478"/>
      <c r="H444" s="1369"/>
      <c r="I444" s="656"/>
      <c r="J444" s="995"/>
      <c r="K444" s="997"/>
      <c r="L444" s="130"/>
      <c r="M444" s="656"/>
      <c r="N444" s="474"/>
      <c r="O444" s="656"/>
      <c r="P444" s="465"/>
      <c r="Q444" s="515"/>
      <c r="R444" s="516"/>
      <c r="S444" s="465"/>
      <c r="T444" s="517"/>
    </row>
    <row r="445" spans="1:20" ht="15.75" thickBot="1" x14ac:dyDescent="0.3">
      <c r="A445" s="174"/>
      <c r="B445" s="76">
        <v>2015</v>
      </c>
      <c r="C445" s="784"/>
      <c r="D445" s="1366"/>
      <c r="E445" s="131"/>
      <c r="F445" s="474">
        <f t="shared" si="118"/>
        <v>0</v>
      </c>
      <c r="G445" s="478"/>
      <c r="H445" s="1370"/>
      <c r="I445" s="656"/>
      <c r="J445" s="474"/>
      <c r="K445" s="970"/>
      <c r="L445" s="130"/>
      <c r="M445" s="656"/>
      <c r="N445" s="474"/>
      <c r="O445" s="656"/>
      <c r="P445" s="221"/>
      <c r="Q445" s="195"/>
      <c r="R445" s="251"/>
      <c r="S445" s="221"/>
      <c r="T445" s="196"/>
    </row>
    <row r="446" spans="1:20" ht="15.75" thickBot="1" x14ac:dyDescent="0.3">
      <c r="A446" s="182"/>
      <c r="B446" s="77">
        <v>2014</v>
      </c>
      <c r="C446" s="783"/>
      <c r="D446" s="1367"/>
      <c r="E446" s="134"/>
      <c r="F446" s="996">
        <f t="shared" si="118"/>
        <v>0</v>
      </c>
      <c r="G446" s="648"/>
      <c r="H446" s="1053"/>
      <c r="I446" s="657"/>
      <c r="J446" s="996"/>
      <c r="K446" s="998"/>
      <c r="L446" s="166"/>
      <c r="M446" s="657"/>
      <c r="N446" s="996"/>
      <c r="O446" s="657"/>
      <c r="P446" s="223"/>
      <c r="Q446" s="1001"/>
      <c r="R446" s="252"/>
      <c r="S446" s="223"/>
      <c r="T446" s="1002"/>
    </row>
    <row r="447" spans="1:20" ht="15.75" thickBot="1" x14ac:dyDescent="0.3">
      <c r="P447" s="514">
        <f>SUM(P439:P446)</f>
        <v>230735093</v>
      </c>
      <c r="R447" s="229"/>
      <c r="S447" s="514">
        <f>SUM(S439:S446)</f>
        <v>2307351</v>
      </c>
    </row>
    <row r="448" spans="1:20" ht="15.75" thickBot="1" x14ac:dyDescent="0.3">
      <c r="A448" s="186"/>
      <c r="B448" s="79"/>
      <c r="C448" s="670" t="s">
        <v>87</v>
      </c>
      <c r="D448" s="725" t="s">
        <v>89</v>
      </c>
      <c r="E448" s="1005" t="s">
        <v>81</v>
      </c>
      <c r="F448" s="1005" t="s">
        <v>3</v>
      </c>
      <c r="G448" s="1006" t="s">
        <v>80</v>
      </c>
      <c r="H448" s="1006" t="s">
        <v>90</v>
      </c>
      <c r="I448" s="1006" t="s">
        <v>4</v>
      </c>
      <c r="J448" s="1007" t="s">
        <v>91</v>
      </c>
      <c r="K448" s="1007" t="s">
        <v>112</v>
      </c>
      <c r="L448" s="1007" t="s">
        <v>4</v>
      </c>
      <c r="M448" s="1458" t="s">
        <v>206</v>
      </c>
      <c r="N448" s="1459" t="s">
        <v>197</v>
      </c>
      <c r="O448" s="1460" t="s">
        <v>4</v>
      </c>
      <c r="P448" s="237" t="s">
        <v>40</v>
      </c>
      <c r="Q448" s="85" t="s">
        <v>41</v>
      </c>
      <c r="R448" s="230" t="s">
        <v>113</v>
      </c>
      <c r="S448" s="230" t="s">
        <v>2</v>
      </c>
      <c r="T448" s="87" t="s">
        <v>42</v>
      </c>
    </row>
    <row r="449" spans="1:24" x14ac:dyDescent="0.25">
      <c r="A449" s="188"/>
      <c r="B449" s="113">
        <v>2023</v>
      </c>
      <c r="C449" s="579"/>
      <c r="D449" s="858">
        <v>24793</v>
      </c>
      <c r="E449" s="680">
        <f>+$AM$105</f>
        <v>29035.125833333335</v>
      </c>
      <c r="F449" s="607">
        <f t="shared" ref="F449:F458" si="119">+D449*E449</f>
        <v>719867874.78583336</v>
      </c>
      <c r="G449" s="956">
        <v>5666</v>
      </c>
      <c r="H449" s="578">
        <f>+$AM$80</f>
        <v>11459.475833333336</v>
      </c>
      <c r="I449" s="562">
        <f t="shared" ref="I449:I458" si="120">+G449*H449</f>
        <v>64929390.07166668</v>
      </c>
      <c r="J449" s="1270">
        <v>141980</v>
      </c>
      <c r="K449" s="1270"/>
      <c r="L449" s="1270"/>
      <c r="M449" s="1461">
        <v>44</v>
      </c>
      <c r="N449" s="1462"/>
      <c r="O449" s="1463"/>
      <c r="P449" s="1203">
        <f>327036358*AC43</f>
        <v>441400972.39259994</v>
      </c>
      <c r="Q449" s="359">
        <f t="shared" ref="Q449:Q458" si="121">+S449/P449</f>
        <v>3.4581885846466043E-2</v>
      </c>
      <c r="R449" s="1203"/>
      <c r="S449" s="1203">
        <f>11309534*AC43</f>
        <v>15264478.039799999</v>
      </c>
      <c r="T449" s="630"/>
      <c r="U449" s="273"/>
    </row>
    <row r="450" spans="1:24" x14ac:dyDescent="0.25">
      <c r="A450" s="188">
        <v>0</v>
      </c>
      <c r="B450" s="319">
        <v>2022</v>
      </c>
      <c r="C450" s="1269"/>
      <c r="D450" s="584">
        <v>30351</v>
      </c>
      <c r="E450" s="680">
        <f>+$AL$105</f>
        <v>33583.721666666665</v>
      </c>
      <c r="F450" s="607">
        <f t="shared" si="119"/>
        <v>1019299536.3049999</v>
      </c>
      <c r="G450" s="956">
        <v>7437</v>
      </c>
      <c r="H450" s="578">
        <f>+$AL$80</f>
        <v>11455.164166666667</v>
      </c>
      <c r="I450" s="562">
        <f t="shared" si="120"/>
        <v>85192055.907499999</v>
      </c>
      <c r="J450" s="1270">
        <v>139558</v>
      </c>
      <c r="K450" s="1271"/>
      <c r="L450" s="1271"/>
      <c r="M450" s="455"/>
      <c r="N450" s="454"/>
      <c r="O450" s="1272"/>
      <c r="P450" s="458">
        <f>834293606*AC44</f>
        <v>1079909643.6064</v>
      </c>
      <c r="Q450" s="359">
        <f t="shared" si="121"/>
        <v>7.4371458145874841E-2</v>
      </c>
      <c r="R450" s="1141"/>
      <c r="S450" s="458">
        <f>62047632*AC44</f>
        <v>80314454.860799998</v>
      </c>
      <c r="T450" s="630"/>
      <c r="U450" s="273"/>
    </row>
    <row r="451" spans="1:24" x14ac:dyDescent="0.25">
      <c r="A451" s="188"/>
      <c r="B451" s="80">
        <v>2021</v>
      </c>
      <c r="C451" s="631"/>
      <c r="D451" s="685">
        <v>37421</v>
      </c>
      <c r="E451" s="555">
        <f>+$AK$105</f>
        <v>23158.052500000002</v>
      </c>
      <c r="F451" s="593">
        <f t="shared" si="119"/>
        <v>866597482.60250008</v>
      </c>
      <c r="G451" s="597">
        <v>8699</v>
      </c>
      <c r="H451" s="560">
        <f>+$AK$80</f>
        <v>11721.560833333335</v>
      </c>
      <c r="I451" s="563">
        <f t="shared" si="120"/>
        <v>101965857.68916668</v>
      </c>
      <c r="J451" s="800">
        <v>170048</v>
      </c>
      <c r="K451" s="801"/>
      <c r="L451" s="801"/>
      <c r="M451" s="318"/>
      <c r="N451" s="317"/>
      <c r="O451" s="968"/>
      <c r="P451" s="520">
        <f>728740870*AC45</f>
        <v>974089702.40724993</v>
      </c>
      <c r="Q451" s="91">
        <f t="shared" si="121"/>
        <v>9.7890523143020644E-2</v>
      </c>
      <c r="R451" s="743"/>
      <c r="S451" s="520">
        <f>71336825*AC45</f>
        <v>95354150.55687499</v>
      </c>
      <c r="T451" s="575"/>
      <c r="U451" s="273"/>
    </row>
    <row r="452" spans="1:24" x14ac:dyDescent="0.25">
      <c r="A452" s="188"/>
      <c r="B452" s="76">
        <v>2020</v>
      </c>
      <c r="C452" s="631"/>
      <c r="D452" s="685">
        <v>38290</v>
      </c>
      <c r="E452" s="555">
        <f>+$AJ$105</f>
        <v>18438.892499999998</v>
      </c>
      <c r="F452" s="593">
        <f t="shared" si="119"/>
        <v>706025193.82499993</v>
      </c>
      <c r="G452" s="597">
        <v>8685</v>
      </c>
      <c r="H452" s="560">
        <f>+$AJ$80</f>
        <v>8253.2833333333328</v>
      </c>
      <c r="I452" s="563">
        <f t="shared" si="120"/>
        <v>71679765.75</v>
      </c>
      <c r="J452" s="800">
        <v>151248</v>
      </c>
      <c r="K452" s="801"/>
      <c r="L452" s="794">
        <f t="shared" ref="L452:L458" si="122">+J452*K452</f>
        <v>0</v>
      </c>
      <c r="M452" s="318"/>
      <c r="N452" s="317"/>
      <c r="O452" s="968"/>
      <c r="P452" s="520">
        <f>510612577*AC46</f>
        <v>684986772.04549992</v>
      </c>
      <c r="Q452" s="91">
        <f t="shared" si="121"/>
        <v>5.5261819373477752E-2</v>
      </c>
      <c r="R452" s="520"/>
      <c r="S452" s="520">
        <f>28217380*AC46</f>
        <v>37853615.269999996</v>
      </c>
      <c r="T452" s="575"/>
      <c r="U452" s="273"/>
    </row>
    <row r="453" spans="1:24" x14ac:dyDescent="0.25">
      <c r="A453" s="188"/>
      <c r="B453" s="319">
        <v>2019</v>
      </c>
      <c r="C453" s="631"/>
      <c r="D453" s="587">
        <v>39315</v>
      </c>
      <c r="E453" s="555">
        <f>+$AI$105</f>
        <v>18453.875833333335</v>
      </c>
      <c r="F453" s="593">
        <f t="shared" si="119"/>
        <v>725514128.38750005</v>
      </c>
      <c r="G453" s="599">
        <v>9096</v>
      </c>
      <c r="H453" s="560">
        <f>+$AI$80</f>
        <v>7975.3608333333332</v>
      </c>
      <c r="I453" s="563">
        <f t="shared" si="120"/>
        <v>72543882.140000001</v>
      </c>
      <c r="J453" s="795">
        <v>146613</v>
      </c>
      <c r="K453" s="796"/>
      <c r="L453" s="794">
        <f t="shared" si="122"/>
        <v>0</v>
      </c>
      <c r="M453" s="549"/>
      <c r="N453" s="10"/>
      <c r="O453" s="1014"/>
      <c r="P453" s="227">
        <f>431072586*AC47</f>
        <v>543151458.36000001</v>
      </c>
      <c r="Q453" s="91">
        <f t="shared" si="121"/>
        <v>3.5800174961717467E-2</v>
      </c>
      <c r="R453" s="802"/>
      <c r="S453" s="256">
        <f>15432474*AC47</f>
        <v>19444917.239999998</v>
      </c>
      <c r="T453" s="575"/>
      <c r="U453" s="273"/>
    </row>
    <row r="454" spans="1:24" x14ac:dyDescent="0.25">
      <c r="A454" s="188"/>
      <c r="B454" s="319">
        <v>2018</v>
      </c>
      <c r="C454" s="631"/>
      <c r="D454" s="587">
        <v>37983</v>
      </c>
      <c r="E454" s="555">
        <f>+$AH$105</f>
        <v>16980.259166666667</v>
      </c>
      <c r="F454" s="593">
        <f t="shared" si="119"/>
        <v>644961183.92750001</v>
      </c>
      <c r="G454" s="599">
        <v>8035</v>
      </c>
      <c r="H454" s="560">
        <f>+$AH$80</f>
        <v>8453.1374999999989</v>
      </c>
      <c r="I454" s="563">
        <f t="shared" si="120"/>
        <v>67920959.812499985</v>
      </c>
      <c r="J454" s="795">
        <v>162959</v>
      </c>
      <c r="K454" s="796"/>
      <c r="L454" s="794">
        <f t="shared" si="122"/>
        <v>0</v>
      </c>
      <c r="M454" s="549"/>
      <c r="N454" s="10"/>
      <c r="O454" s="1014"/>
      <c r="P454" s="227">
        <f>361853476*AC48</f>
        <v>468853548.85320002</v>
      </c>
      <c r="Q454" s="91">
        <f t="shared" si="121"/>
        <v>4.9473588585894915E-2</v>
      </c>
      <c r="R454" s="802"/>
      <c r="S454" s="256">
        <f>17902190*AC48</f>
        <v>23195867.583000001</v>
      </c>
      <c r="T454" s="575"/>
      <c r="U454" s="273" t="s">
        <v>143</v>
      </c>
    </row>
    <row r="455" spans="1:24" x14ac:dyDescent="0.25">
      <c r="A455" s="188"/>
      <c r="B455" s="80">
        <v>2017</v>
      </c>
      <c r="C455" s="76"/>
      <c r="D455" s="587">
        <v>35486</v>
      </c>
      <c r="E455" s="555">
        <f>+$AG$105</f>
        <v>13486.381666666663</v>
      </c>
      <c r="F455" s="593">
        <f t="shared" si="119"/>
        <v>478577739.8233332</v>
      </c>
      <c r="G455" s="599">
        <v>8992</v>
      </c>
      <c r="H455" s="560">
        <f>+$AG$80</f>
        <v>7993.8658333333324</v>
      </c>
      <c r="I455" s="563">
        <f t="shared" si="120"/>
        <v>71880841.573333323</v>
      </c>
      <c r="J455" s="795">
        <v>208687</v>
      </c>
      <c r="K455" s="796"/>
      <c r="L455" s="794">
        <f t="shared" si="122"/>
        <v>0</v>
      </c>
      <c r="M455" s="549"/>
      <c r="N455" s="10"/>
      <c r="O455" s="1014"/>
      <c r="P455" s="227">
        <f>273531856*AC49</f>
        <v>355208468.20160002</v>
      </c>
      <c r="Q455" s="91">
        <f t="shared" si="121"/>
        <v>3.1598261081517316E-2</v>
      </c>
      <c r="R455" s="802"/>
      <c r="S455" s="256">
        <f>8643131*AC49</f>
        <v>11223969.9166</v>
      </c>
      <c r="T455" s="575"/>
      <c r="U455" s="273"/>
    </row>
    <row r="456" spans="1:24" x14ac:dyDescent="0.25">
      <c r="A456" s="188"/>
      <c r="B456" s="76">
        <v>2016</v>
      </c>
      <c r="C456" s="76"/>
      <c r="D456" s="587">
        <v>42549</v>
      </c>
      <c r="E456" s="555">
        <f>+$AF$105</f>
        <v>12707.601666666667</v>
      </c>
      <c r="F456" s="593">
        <f t="shared" si="119"/>
        <v>540695743.31500006</v>
      </c>
      <c r="G456" s="599">
        <v>9149</v>
      </c>
      <c r="H456" s="560">
        <f>+$AF$80</f>
        <v>6450.1633333333339</v>
      </c>
      <c r="I456" s="563">
        <f t="shared" si="120"/>
        <v>59012544.336666673</v>
      </c>
      <c r="J456" s="795">
        <v>225340</v>
      </c>
      <c r="K456" s="796"/>
      <c r="L456" s="794">
        <f t="shared" si="122"/>
        <v>0</v>
      </c>
      <c r="M456" s="549"/>
      <c r="N456" s="10"/>
      <c r="O456" s="1014"/>
      <c r="P456" s="227">
        <f>358699035</f>
        <v>358699035</v>
      </c>
      <c r="Q456" s="91">
        <f t="shared" si="121"/>
        <v>3.8759546704662869E-2</v>
      </c>
      <c r="R456" s="802"/>
      <c r="S456" s="256">
        <f>13903012</f>
        <v>13903012</v>
      </c>
      <c r="T456" s="575"/>
      <c r="U456" s="273"/>
    </row>
    <row r="457" spans="1:24" x14ac:dyDescent="0.25">
      <c r="A457" s="188"/>
      <c r="B457" s="76">
        <v>2015</v>
      </c>
      <c r="C457" s="76"/>
      <c r="D457" s="587">
        <v>34026</v>
      </c>
      <c r="E457" s="555">
        <f>+$AE$105</f>
        <v>15082.027500000002</v>
      </c>
      <c r="F457" s="593">
        <f t="shared" si="119"/>
        <v>513181067.71500009</v>
      </c>
      <c r="G457" s="599">
        <v>8737</v>
      </c>
      <c r="H457" s="560">
        <f>+$AE$80</f>
        <v>7025.8175000000001</v>
      </c>
      <c r="I457" s="563">
        <f t="shared" si="120"/>
        <v>61384567.497500002</v>
      </c>
      <c r="J457" s="795">
        <v>196936</v>
      </c>
      <c r="K457" s="796"/>
      <c r="L457" s="794">
        <f t="shared" si="122"/>
        <v>0</v>
      </c>
      <c r="M457" s="549"/>
      <c r="N457" s="10"/>
      <c r="O457" s="1014"/>
      <c r="P457" s="227">
        <f>268827393*AC51</f>
        <v>343749587.42909998</v>
      </c>
      <c r="Q457" s="91">
        <f t="shared" si="121"/>
        <v>3.4852132795856861E-2</v>
      </c>
      <c r="R457" s="802"/>
      <c r="S457" s="256">
        <f>9369208*AC51</f>
        <v>11980406.2696</v>
      </c>
      <c r="T457" s="575"/>
      <c r="U457" s="273"/>
    </row>
    <row r="458" spans="1:24" ht="15.75" thickBot="1" x14ac:dyDescent="0.3">
      <c r="A458" s="1013" t="s">
        <v>86</v>
      </c>
      <c r="B458" s="77">
        <v>2014</v>
      </c>
      <c r="C458" s="77"/>
      <c r="D458" s="588">
        <v>29523</v>
      </c>
      <c r="E458" s="556">
        <f>+$AD$105</f>
        <v>18627.933333333331</v>
      </c>
      <c r="F458" s="595">
        <f t="shared" si="119"/>
        <v>549952475.79999995</v>
      </c>
      <c r="G458" s="793">
        <v>8179</v>
      </c>
      <c r="H458" s="561">
        <f>+$AD$80</f>
        <v>7578.9708333333338</v>
      </c>
      <c r="I458" s="564">
        <f t="shared" si="120"/>
        <v>61988402.44583334</v>
      </c>
      <c r="J458" s="797">
        <v>74673</v>
      </c>
      <c r="K458" s="798"/>
      <c r="L458" s="799">
        <f t="shared" si="122"/>
        <v>0</v>
      </c>
      <c r="M458" s="1015"/>
      <c r="N458" s="25"/>
      <c r="O458" s="1016"/>
      <c r="P458" s="228">
        <f>387189974*AC52</f>
        <v>430168061.11400002</v>
      </c>
      <c r="Q458" s="539">
        <f t="shared" si="121"/>
        <v>8.4377858916357171E-2</v>
      </c>
      <c r="R458" s="803"/>
      <c r="S458" s="257">
        <f>32670261*AC52</f>
        <v>36296659.971000001</v>
      </c>
      <c r="T458" s="576"/>
      <c r="U458" s="273"/>
    </row>
    <row r="459" spans="1:24" ht="15.75" thickBot="1" x14ac:dyDescent="0.3">
      <c r="A459" s="187"/>
      <c r="B459" s="14"/>
      <c r="C459" s="14"/>
      <c r="D459" s="14"/>
      <c r="E459" s="14"/>
      <c r="F459" s="14"/>
      <c r="G459" s="14"/>
      <c r="H459" s="14"/>
      <c r="I459" s="14"/>
      <c r="J459" s="17"/>
      <c r="K459" s="17"/>
      <c r="L459" s="17"/>
      <c r="M459" s="17"/>
      <c r="N459" s="17"/>
      <c r="O459" s="17"/>
      <c r="P459" s="514">
        <f>SUM(P450:P458)</f>
        <v>5238816277.0170498</v>
      </c>
      <c r="R459" s="229"/>
      <c r="S459" s="813">
        <f>SUM(S450:S458)</f>
        <v>329567053.66787499</v>
      </c>
      <c r="T459" s="12"/>
      <c r="U459" s="1105"/>
    </row>
    <row r="460" spans="1:24" ht="15.75" thickBot="1" x14ac:dyDescent="0.3">
      <c r="A460" s="188"/>
      <c r="B460" s="79"/>
      <c r="C460" s="1004" t="s">
        <v>88</v>
      </c>
      <c r="D460" s="1005" t="s">
        <v>79</v>
      </c>
      <c r="E460" s="1005" t="s">
        <v>81</v>
      </c>
      <c r="F460" s="1005" t="s">
        <v>3</v>
      </c>
      <c r="G460" s="1006" t="s">
        <v>80</v>
      </c>
      <c r="H460" s="1006" t="s">
        <v>90</v>
      </c>
      <c r="I460" s="1006" t="s">
        <v>4</v>
      </c>
      <c r="J460" s="1007" t="s">
        <v>91</v>
      </c>
      <c r="K460" s="1007" t="s">
        <v>92</v>
      </c>
      <c r="L460" s="1007" t="s">
        <v>4</v>
      </c>
      <c r="M460" s="1449" t="s">
        <v>117</v>
      </c>
      <c r="N460" s="1449" t="s">
        <v>92</v>
      </c>
      <c r="O460" s="1464" t="s">
        <v>4</v>
      </c>
      <c r="P460" s="1004" t="s">
        <v>182</v>
      </c>
      <c r="Q460" s="1004" t="s">
        <v>189</v>
      </c>
      <c r="R460" s="1004" t="s">
        <v>183</v>
      </c>
      <c r="S460" s="238" t="s">
        <v>40</v>
      </c>
      <c r="T460" s="1010" t="s">
        <v>41</v>
      </c>
      <c r="U460" s="1011" t="s">
        <v>113</v>
      </c>
      <c r="V460" s="224" t="s">
        <v>2</v>
      </c>
      <c r="W460" s="98" t="s">
        <v>42</v>
      </c>
    </row>
    <row r="461" spans="1:24" ht="15.75" thickBot="1" x14ac:dyDescent="0.3">
      <c r="A461" s="188"/>
      <c r="B461" s="80">
        <v>2023</v>
      </c>
      <c r="C461" s="472"/>
      <c r="D461" s="472"/>
      <c r="E461" s="472"/>
      <c r="F461" s="472"/>
      <c r="G461" s="472"/>
      <c r="H461" s="472"/>
      <c r="I461" s="472"/>
      <c r="J461" s="472"/>
      <c r="K461" s="472"/>
      <c r="L461" s="472"/>
      <c r="M461" s="472"/>
      <c r="N461" s="472"/>
      <c r="O461" s="1278"/>
      <c r="P461" s="472"/>
      <c r="Q461" s="472"/>
      <c r="R461" s="1278"/>
      <c r="S461" s="469"/>
      <c r="T461" s="1278"/>
      <c r="U461" s="1169"/>
      <c r="V461" s="1169"/>
      <c r="W461" s="1169"/>
    </row>
    <row r="462" spans="1:24" ht="15.75" thickBot="1" x14ac:dyDescent="0.3">
      <c r="A462" s="188"/>
      <c r="B462" s="76">
        <v>2022</v>
      </c>
      <c r="C462" s="581"/>
      <c r="D462" s="685">
        <v>15934</v>
      </c>
      <c r="E462" s="555">
        <f>+$AL$155</f>
        <v>4518.475833333333</v>
      </c>
      <c r="F462" s="593">
        <f t="shared" ref="F462:F470" si="123">+D462*E462</f>
        <v>71997393.928333327</v>
      </c>
      <c r="G462" s="597">
        <v>3178</v>
      </c>
      <c r="H462" s="560">
        <f>+$AL$80</f>
        <v>11455.164166666667</v>
      </c>
      <c r="I462" s="563">
        <f t="shared" ref="I462:I470" si="124">+G462*H462</f>
        <v>36404511.721666671</v>
      </c>
      <c r="J462" s="1003"/>
      <c r="K462" s="1003"/>
      <c r="L462" s="1003"/>
      <c r="M462" s="1465">
        <v>114214</v>
      </c>
      <c r="N462" s="1466">
        <f>+AL$196</f>
        <v>28.558333333333337</v>
      </c>
      <c r="O462" s="1463">
        <f t="shared" ref="O462:O467" si="125">+M462*N462</f>
        <v>3261761.4833333339</v>
      </c>
      <c r="P462" s="580"/>
      <c r="Q462" s="581"/>
      <c r="R462" s="206"/>
      <c r="S462" s="463">
        <f>71630058*AC44</f>
        <v>92717947.075200006</v>
      </c>
      <c r="T462" s="545">
        <f t="shared" ref="T462:T470" si="126">+V462/S462</f>
        <v>5.9029437055600313E-2</v>
      </c>
      <c r="U462" s="1012">
        <f>+(F462+I462+L462+O462+R462)*$AC44</f>
        <v>144537450.73738667</v>
      </c>
      <c r="V462" s="528">
        <f>4228282*AC44</f>
        <v>5473088.2208000002</v>
      </c>
      <c r="W462" s="575">
        <f t="shared" ref="W462:W470" si="127">+V462/U462</f>
        <v>3.7866229083728456E-2</v>
      </c>
      <c r="X462" s="273"/>
    </row>
    <row r="463" spans="1:24" x14ac:dyDescent="0.25">
      <c r="A463" s="188"/>
      <c r="B463" s="76">
        <v>2021</v>
      </c>
      <c r="C463" s="631"/>
      <c r="D463" s="685">
        <v>39444</v>
      </c>
      <c r="E463" s="555">
        <f>+$AK$155</f>
        <v>3764.4091666666677</v>
      </c>
      <c r="F463" s="593">
        <f t="shared" si="123"/>
        <v>148483355.17000005</v>
      </c>
      <c r="G463" s="597">
        <v>6873</v>
      </c>
      <c r="H463" s="560">
        <f>+$AK$80</f>
        <v>11721.560833333335</v>
      </c>
      <c r="I463" s="563">
        <f t="shared" si="124"/>
        <v>80562287.607500017</v>
      </c>
      <c r="J463" s="800"/>
      <c r="K463" s="801"/>
      <c r="L463" s="801"/>
      <c r="M463" s="1465">
        <v>260087</v>
      </c>
      <c r="N463" s="1466">
        <f>+AK$196</f>
        <v>32.092500000000001</v>
      </c>
      <c r="O463" s="1463">
        <f t="shared" si="125"/>
        <v>8346842.0475000003</v>
      </c>
      <c r="P463" s="645">
        <v>13092</v>
      </c>
      <c r="Q463" s="644">
        <f>+$AK$176</f>
        <v>2256.1483333333331</v>
      </c>
      <c r="R463" s="811">
        <f>+P463*Q463</f>
        <v>29537493.979999997</v>
      </c>
      <c r="S463" s="520">
        <f>166013947*AC45</f>
        <v>221906692.60622498</v>
      </c>
      <c r="T463" s="545">
        <f t="shared" si="126"/>
        <v>5.3655655267361657E-2</v>
      </c>
      <c r="U463" s="1012">
        <f>+(F463+I463+L463+O463+R463)*$AC45</f>
        <v>356798629.41917342</v>
      </c>
      <c r="V463" s="458">
        <v>11906549</v>
      </c>
      <c r="W463" s="575">
        <f t="shared" si="127"/>
        <v>3.3370500944419193E-2</v>
      </c>
      <c r="X463" s="273"/>
    </row>
    <row r="464" spans="1:24" x14ac:dyDescent="0.25">
      <c r="A464" s="188"/>
      <c r="B464" s="76">
        <v>2020</v>
      </c>
      <c r="C464" s="631"/>
      <c r="D464" s="685">
        <v>43650</v>
      </c>
      <c r="E464" s="555">
        <f>+$AJ$155</f>
        <v>3029.9241666666662</v>
      </c>
      <c r="F464" s="593">
        <f t="shared" si="123"/>
        <v>132256189.87499999</v>
      </c>
      <c r="G464" s="597">
        <v>6499</v>
      </c>
      <c r="H464" s="560">
        <f>+$AJ$80</f>
        <v>8253.2833333333328</v>
      </c>
      <c r="I464" s="563">
        <f t="shared" si="124"/>
        <v>53638088.383333333</v>
      </c>
      <c r="J464" s="801"/>
      <c r="K464" s="801"/>
      <c r="L464" s="801"/>
      <c r="M464" s="1465">
        <v>317624</v>
      </c>
      <c r="N464" s="1466">
        <f>+AJ$196</f>
        <v>25.967500000000001</v>
      </c>
      <c r="O464" s="1463">
        <f t="shared" si="125"/>
        <v>8247901.2200000007</v>
      </c>
      <c r="P464" s="76"/>
      <c r="Q464" s="319"/>
      <c r="R464" s="114"/>
      <c r="S464" s="520">
        <f>62962355*AC46</f>
        <v>84463999.232500002</v>
      </c>
      <c r="T464" s="545">
        <f t="shared" si="126"/>
        <v>5.1194098441838767E-2</v>
      </c>
      <c r="U464" s="802">
        <f>+(F464+I464+L464+O464)*$AC46</f>
        <v>260441733.77018413</v>
      </c>
      <c r="V464" s="520">
        <f>3223301*AC46</f>
        <v>4324058.2914999994</v>
      </c>
      <c r="W464" s="575">
        <f t="shared" si="127"/>
        <v>1.6602785693768968E-2</v>
      </c>
      <c r="X464" s="281"/>
    </row>
    <row r="465" spans="1:24" x14ac:dyDescent="0.25">
      <c r="A465" s="188"/>
      <c r="B465" s="76">
        <v>2019</v>
      </c>
      <c r="C465" s="631"/>
      <c r="D465" s="685">
        <v>37230</v>
      </c>
      <c r="E465" s="555">
        <f>+$AI$155</f>
        <v>3385.2758333333331</v>
      </c>
      <c r="F465" s="593">
        <f t="shared" si="123"/>
        <v>126033819.27499999</v>
      </c>
      <c r="G465" s="599">
        <v>5368</v>
      </c>
      <c r="H465" s="560">
        <f>+$AI$80</f>
        <v>7975.3608333333332</v>
      </c>
      <c r="I465" s="563">
        <f t="shared" si="124"/>
        <v>42811736.953333333</v>
      </c>
      <c r="J465" s="795"/>
      <c r="K465" s="796"/>
      <c r="L465" s="794">
        <f t="shared" ref="L465:L470" si="128">+J465*K465</f>
        <v>0</v>
      </c>
      <c r="M465" s="1467">
        <v>259005</v>
      </c>
      <c r="N465" s="1466">
        <f>+AI$196</f>
        <v>21.444166666666664</v>
      </c>
      <c r="O465" s="1463">
        <f t="shared" si="125"/>
        <v>5554146.3874999993</v>
      </c>
      <c r="P465" s="76"/>
      <c r="Q465" s="76"/>
      <c r="R465" s="114"/>
      <c r="S465" s="227">
        <f>53404924*AC47</f>
        <v>67290204.239999995</v>
      </c>
      <c r="T465" s="545">
        <f t="shared" si="126"/>
        <v>4.000000074899461E-2</v>
      </c>
      <c r="U465" s="802">
        <f>+(F465+I465+L465+O465)*$AC47</f>
        <v>219743625.29594997</v>
      </c>
      <c r="V465" s="227">
        <f>2136197*AC47</f>
        <v>2691608.22</v>
      </c>
      <c r="W465" s="575">
        <f t="shared" si="127"/>
        <v>1.2248856895734524E-2</v>
      </c>
      <c r="X465" s="399" t="s">
        <v>144</v>
      </c>
    </row>
    <row r="466" spans="1:24" x14ac:dyDescent="0.25">
      <c r="A466" s="188"/>
      <c r="B466" s="76">
        <v>2018</v>
      </c>
      <c r="C466" s="631"/>
      <c r="D466" s="587">
        <v>37701</v>
      </c>
      <c r="E466" s="555">
        <f>+$AH$155</f>
        <v>3770.6966666666663</v>
      </c>
      <c r="F466" s="593">
        <f t="shared" si="123"/>
        <v>142159035.02999997</v>
      </c>
      <c r="G466" s="599">
        <v>5505</v>
      </c>
      <c r="H466" s="560">
        <f>+$AH$80</f>
        <v>8453.1374999999989</v>
      </c>
      <c r="I466" s="563">
        <f t="shared" si="124"/>
        <v>46534521.937499993</v>
      </c>
      <c r="J466" s="795">
        <v>181485</v>
      </c>
      <c r="K466" s="796"/>
      <c r="L466" s="794">
        <f t="shared" si="128"/>
        <v>0</v>
      </c>
      <c r="M466" s="1467"/>
      <c r="N466" s="1466"/>
      <c r="O466" s="1463">
        <f t="shared" si="125"/>
        <v>0</v>
      </c>
      <c r="P466" s="76"/>
      <c r="Q466" s="76"/>
      <c r="R466" s="114"/>
      <c r="S466" s="227">
        <f>99000464*AC48</f>
        <v>128274901.20480001</v>
      </c>
      <c r="T466" s="545">
        <f t="shared" si="126"/>
        <v>4.0000004444423615E-2</v>
      </c>
      <c r="U466" s="802"/>
      <c r="V466" s="227">
        <f>3960019*AC48</f>
        <v>5130996.6183000002</v>
      </c>
      <c r="W466" s="575" t="e">
        <f t="shared" si="127"/>
        <v>#DIV/0!</v>
      </c>
      <c r="X466" s="281"/>
    </row>
    <row r="467" spans="1:24" x14ac:dyDescent="0.25">
      <c r="A467" s="188"/>
      <c r="B467" s="76">
        <v>2017</v>
      </c>
      <c r="C467" s="76"/>
      <c r="D467" s="587">
        <v>37364</v>
      </c>
      <c r="E467" s="555">
        <f>+$AG$155</f>
        <v>3744.7549999999997</v>
      </c>
      <c r="F467" s="593">
        <f t="shared" si="123"/>
        <v>139919025.81999999</v>
      </c>
      <c r="G467" s="599">
        <v>6968</v>
      </c>
      <c r="H467" s="560">
        <f>+$AG$80</f>
        <v>7993.8658333333324</v>
      </c>
      <c r="I467" s="563">
        <f t="shared" si="124"/>
        <v>55701257.126666658</v>
      </c>
      <c r="J467" s="795"/>
      <c r="K467" s="796"/>
      <c r="L467" s="794">
        <f t="shared" si="128"/>
        <v>0</v>
      </c>
      <c r="M467" s="1467">
        <v>231631</v>
      </c>
      <c r="N467" s="1466">
        <f>+AG$196</f>
        <v>22.250833333333333</v>
      </c>
      <c r="O467" s="1463">
        <f t="shared" si="125"/>
        <v>5153982.7758333329</v>
      </c>
      <c r="P467" s="76"/>
      <c r="Q467" s="76"/>
      <c r="R467" s="114"/>
      <c r="S467" s="227">
        <f>116432315*AC49</f>
        <v>151199004.259</v>
      </c>
      <c r="T467" s="545">
        <f t="shared" si="126"/>
        <v>4.3864909840536967E-2</v>
      </c>
      <c r="U467" s="802">
        <f>+(F467+I467+L467+O467)*$AC49</f>
        <v>260725461.46723849</v>
      </c>
      <c r="V467" s="212">
        <f>5107293*AC49</f>
        <v>6632330.6897999998</v>
      </c>
      <c r="W467" s="575">
        <f t="shared" si="127"/>
        <v>2.5437986196194293E-2</v>
      </c>
      <c r="X467" s="281"/>
    </row>
    <row r="468" spans="1:24" x14ac:dyDescent="0.25">
      <c r="A468" s="188"/>
      <c r="B468" s="76">
        <v>2016</v>
      </c>
      <c r="C468" s="76"/>
      <c r="D468" s="587">
        <v>43482</v>
      </c>
      <c r="E468" s="555">
        <f>+$AF$155</f>
        <v>2739.9774999999995</v>
      </c>
      <c r="F468" s="593">
        <f t="shared" si="123"/>
        <v>119139701.65499997</v>
      </c>
      <c r="G468" s="599"/>
      <c r="H468" s="560">
        <f>+$AF$80</f>
        <v>6450.1633333333339</v>
      </c>
      <c r="I468" s="563">
        <f t="shared" si="124"/>
        <v>0</v>
      </c>
      <c r="J468" s="795"/>
      <c r="K468" s="796"/>
      <c r="L468" s="794">
        <f t="shared" si="128"/>
        <v>0</v>
      </c>
      <c r="M468" s="1467"/>
      <c r="N468" s="1466"/>
      <c r="O468" s="1463"/>
      <c r="P468" s="76"/>
      <c r="Q468" s="76"/>
      <c r="R468" s="114"/>
      <c r="S468" s="227">
        <f>121872436</f>
        <v>121872436</v>
      </c>
      <c r="T468" s="545">
        <f t="shared" si="126"/>
        <v>3.2087456061024332E-2</v>
      </c>
      <c r="U468" s="802">
        <f>+(F468+I468+L468+O468)*$AC50</f>
        <v>157836276.75254396</v>
      </c>
      <c r="V468" s="212">
        <f>2951824*AC50</f>
        <v>3910576.4351999997</v>
      </c>
      <c r="W468" s="575">
        <f t="shared" si="127"/>
        <v>2.4776157393341262E-2</v>
      </c>
      <c r="X468" s="281"/>
    </row>
    <row r="469" spans="1:24" ht="15.75" thickBot="1" x14ac:dyDescent="0.3">
      <c r="A469" s="188"/>
      <c r="B469" s="76">
        <v>2015</v>
      </c>
      <c r="C469" s="76"/>
      <c r="D469" s="804">
        <v>44565</v>
      </c>
      <c r="E469" s="555">
        <f>+$AE$155</f>
        <v>2759.771666666667</v>
      </c>
      <c r="F469" s="593">
        <f t="shared" si="123"/>
        <v>122989224.32500002</v>
      </c>
      <c r="G469" s="860"/>
      <c r="H469" s="560">
        <f>+$AE$80</f>
        <v>7025.8175000000001</v>
      </c>
      <c r="I469" s="563">
        <f t="shared" si="124"/>
        <v>0</v>
      </c>
      <c r="J469" s="795"/>
      <c r="K469" s="796"/>
      <c r="L469" s="794">
        <f t="shared" si="128"/>
        <v>0</v>
      </c>
      <c r="M469" s="1467"/>
      <c r="N469" s="1466"/>
      <c r="O469" s="1463"/>
      <c r="P469" s="76"/>
      <c r="Q469" s="76"/>
      <c r="R469" s="114"/>
      <c r="S469" s="228">
        <f>68031320*AC51</f>
        <v>86991648.884000003</v>
      </c>
      <c r="T469" s="546">
        <f t="shared" si="126"/>
        <v>3.4852138691414479E-2</v>
      </c>
      <c r="U469" s="802">
        <f>+(F469+I469+L469+O469)*$AC51</f>
        <v>157266321.14437753</v>
      </c>
      <c r="V469" s="212">
        <f>2371037*AC51</f>
        <v>3031845.0118999998</v>
      </c>
      <c r="W469" s="575">
        <f t="shared" si="127"/>
        <v>1.9278412503314236E-2</v>
      </c>
      <c r="X469" s="281"/>
    </row>
    <row r="470" spans="1:24" ht="15.75" thickBot="1" x14ac:dyDescent="0.3">
      <c r="A470" s="189"/>
      <c r="B470" s="77">
        <v>2014</v>
      </c>
      <c r="C470" s="77"/>
      <c r="D470" s="805">
        <v>64789</v>
      </c>
      <c r="E470" s="556">
        <f>+$AD$155</f>
        <v>2387.4058333333332</v>
      </c>
      <c r="F470" s="595">
        <f t="shared" si="123"/>
        <v>154677636.53583333</v>
      </c>
      <c r="G470" s="810">
        <v>9161</v>
      </c>
      <c r="H470" s="561">
        <f>+$AD$80</f>
        <v>7578.9708333333338</v>
      </c>
      <c r="I470" s="564">
        <f t="shared" si="124"/>
        <v>69430951.804166675</v>
      </c>
      <c r="J470" s="797"/>
      <c r="K470" s="798"/>
      <c r="L470" s="799">
        <f t="shared" si="128"/>
        <v>0</v>
      </c>
      <c r="M470" s="1468"/>
      <c r="N470" s="1469"/>
      <c r="O470" s="1470"/>
      <c r="P470" s="77"/>
      <c r="Q470" s="77"/>
      <c r="R470" s="77"/>
      <c r="S470" s="812">
        <f>136567217*AC52</f>
        <v>151726178.08700001</v>
      </c>
      <c r="T470" s="543">
        <f t="shared" si="126"/>
        <v>4.1275220538469347E-2</v>
      </c>
      <c r="U470" s="803">
        <f>+(F470+I470+L470+O470)*$AC52</f>
        <v>248984641.64574</v>
      </c>
      <c r="V470" s="213">
        <f>5636842*AC52</f>
        <v>6262531.4620000003</v>
      </c>
      <c r="W470" s="576">
        <f t="shared" si="127"/>
        <v>2.5152280159153138E-2</v>
      </c>
      <c r="X470" s="273"/>
    </row>
    <row r="471" spans="1:24" ht="15.75" thickBot="1" x14ac:dyDescent="0.3">
      <c r="S471" s="514">
        <f>SUM(S462:S470)</f>
        <v>1106443011.5887251</v>
      </c>
      <c r="U471" s="273"/>
      <c r="V471" s="1118">
        <f>SUM(V462:V470)</f>
        <v>49363583.949499995</v>
      </c>
    </row>
    <row r="472" spans="1:24" ht="15.75" thickBot="1" x14ac:dyDescent="0.3">
      <c r="A472" s="734"/>
      <c r="B472" s="79"/>
      <c r="C472" s="1023" t="s">
        <v>94</v>
      </c>
      <c r="D472" s="48" t="s">
        <v>95</v>
      </c>
      <c r="E472" s="48" t="s">
        <v>96</v>
      </c>
      <c r="F472" s="48" t="s">
        <v>3</v>
      </c>
      <c r="G472" s="1024"/>
      <c r="H472" s="1024"/>
      <c r="I472" s="1025"/>
      <c r="J472" s="71"/>
      <c r="K472" s="50"/>
      <c r="L472" s="50"/>
      <c r="M472" s="50"/>
      <c r="N472" s="50"/>
      <c r="O472" s="69"/>
      <c r="P472" s="238" t="s">
        <v>40</v>
      </c>
      <c r="Q472" s="51" t="s">
        <v>41</v>
      </c>
      <c r="R472" s="259" t="s">
        <v>113</v>
      </c>
      <c r="S472" s="1026" t="s">
        <v>2</v>
      </c>
      <c r="T472" s="1027" t="s">
        <v>42</v>
      </c>
    </row>
    <row r="473" spans="1:24" x14ac:dyDescent="0.25">
      <c r="A473" s="175"/>
      <c r="B473" s="319">
        <v>2023</v>
      </c>
      <c r="C473" s="744"/>
      <c r="D473" s="858">
        <v>6568950</v>
      </c>
      <c r="E473" s="1298"/>
      <c r="F473" s="858"/>
      <c r="G473" s="1136"/>
      <c r="H473" s="1137"/>
      <c r="I473" s="1137"/>
      <c r="J473" s="361"/>
      <c r="K473" s="362"/>
      <c r="L473" s="362"/>
      <c r="M473" s="362"/>
      <c r="N473" s="362"/>
      <c r="O473" s="363"/>
      <c r="P473" s="867">
        <f>109722620*AC43</f>
        <v>148092620.21399999</v>
      </c>
      <c r="Q473" s="406">
        <f t="shared" ref="Q473:Q482" si="129">+S473/P473</f>
        <v>4.0378939183187565E-2</v>
      </c>
      <c r="R473" s="978"/>
      <c r="S473" s="1308">
        <f>4430483*AC43</f>
        <v>5979822.9050999992</v>
      </c>
      <c r="T473" s="452"/>
      <c r="U473" s="273"/>
    </row>
    <row r="474" spans="1:24" x14ac:dyDescent="0.25">
      <c r="A474" s="175"/>
      <c r="B474" s="1017">
        <v>2022</v>
      </c>
      <c r="C474" s="748"/>
      <c r="D474" s="584">
        <v>6422815</v>
      </c>
      <c r="E474" s="1305"/>
      <c r="F474" s="632"/>
      <c r="G474" s="1021"/>
      <c r="H474" s="207"/>
      <c r="I474" s="207"/>
      <c r="J474" s="455"/>
      <c r="K474" s="454"/>
      <c r="L474" s="454"/>
      <c r="M474" s="454"/>
      <c r="N474" s="454"/>
      <c r="O474" s="548"/>
      <c r="P474" s="1303">
        <f>87900528*AC44</f>
        <v>113778443.44319999</v>
      </c>
      <c r="Q474" s="406">
        <f t="shared" si="129"/>
        <v>1.8558307181044467E-2</v>
      </c>
      <c r="R474" s="1304"/>
      <c r="S474" s="1303">
        <f>1631285*AC44</f>
        <v>2111535.304</v>
      </c>
      <c r="T474" s="452"/>
      <c r="U474" s="273"/>
    </row>
    <row r="475" spans="1:24" x14ac:dyDescent="0.25">
      <c r="A475" s="175"/>
      <c r="B475" s="76">
        <v>2021</v>
      </c>
      <c r="C475" s="1020"/>
      <c r="D475" s="584">
        <v>6446293</v>
      </c>
      <c r="E475" s="1305"/>
      <c r="F475" s="632"/>
      <c r="G475" s="1021"/>
      <c r="H475" s="207"/>
      <c r="I475" s="207"/>
      <c r="J475" s="455"/>
      <c r="K475" s="454"/>
      <c r="L475" s="454"/>
      <c r="M475" s="454"/>
      <c r="N475" s="454"/>
      <c r="O475" s="548"/>
      <c r="P475" s="458">
        <f>106326352*AC45</f>
        <v>142123776.5596</v>
      </c>
      <c r="Q475" s="406">
        <f t="shared" si="129"/>
        <v>2.4545551981318796E-2</v>
      </c>
      <c r="R475" s="1141"/>
      <c r="S475" s="458">
        <f>2609839*AC45</f>
        <v>3488506.5453249994</v>
      </c>
      <c r="T475" s="452"/>
      <c r="U475" s="273"/>
    </row>
    <row r="476" spans="1:24" x14ac:dyDescent="0.25">
      <c r="A476" s="175"/>
      <c r="B476" s="76">
        <v>2020</v>
      </c>
      <c r="C476" s="1018"/>
      <c r="D476" s="685">
        <v>6393486</v>
      </c>
      <c r="E476" s="895"/>
      <c r="F476" s="635"/>
      <c r="G476" s="681"/>
      <c r="H476" s="371"/>
      <c r="I476" s="371"/>
      <c r="J476" s="318"/>
      <c r="K476" s="317"/>
      <c r="L476" s="317"/>
      <c r="M476" s="317"/>
      <c r="N476" s="317"/>
      <c r="O476" s="403"/>
      <c r="P476" s="520">
        <f>95393506*AC46</f>
        <v>127970388.29899999</v>
      </c>
      <c r="Q476" s="408">
        <f t="shared" si="129"/>
        <v>5.7834146487917112E-2</v>
      </c>
      <c r="R476" s="520"/>
      <c r="S476" s="520">
        <f>5517002*AC46</f>
        <v>7401058.1829999993</v>
      </c>
      <c r="T476" s="94"/>
      <c r="U476" s="273"/>
    </row>
    <row r="477" spans="1:24" x14ac:dyDescent="0.25">
      <c r="A477" s="175"/>
      <c r="B477" s="76">
        <v>2019</v>
      </c>
      <c r="C477" s="1018"/>
      <c r="D477" s="587">
        <v>6221441</v>
      </c>
      <c r="E477" s="753"/>
      <c r="F477" s="593">
        <f t="shared" ref="F477:F482" si="130">+D477*E477</f>
        <v>0</v>
      </c>
      <c r="G477" s="727"/>
      <c r="H477" s="177"/>
      <c r="I477" s="178"/>
      <c r="J477" s="1306"/>
      <c r="K477" s="178"/>
      <c r="L477" s="178"/>
      <c r="M477" s="178"/>
      <c r="N477" s="178"/>
      <c r="O477" s="179"/>
      <c r="P477" s="227">
        <f>118299073*AC47</f>
        <v>149056831.97999999</v>
      </c>
      <c r="Q477" s="408">
        <f t="shared" si="129"/>
        <v>7.8203917963076519E-2</v>
      </c>
      <c r="R477" s="256">
        <f>+F477+I477</f>
        <v>0</v>
      </c>
      <c r="S477" s="227">
        <f>9251451*AC47</f>
        <v>11656828.26</v>
      </c>
      <c r="T477" s="94"/>
      <c r="U477" s="273"/>
    </row>
    <row r="478" spans="1:24" x14ac:dyDescent="0.25">
      <c r="A478" s="175"/>
      <c r="B478" s="76">
        <v>2018</v>
      </c>
      <c r="C478" s="1018"/>
      <c r="D478" s="587">
        <v>7475000</v>
      </c>
      <c r="E478" s="753"/>
      <c r="F478" s="593">
        <f t="shared" si="130"/>
        <v>0</v>
      </c>
      <c r="G478" s="727"/>
      <c r="H478" s="177"/>
      <c r="I478" s="178"/>
      <c r="J478" s="1306"/>
      <c r="K478" s="178"/>
      <c r="L478" s="178"/>
      <c r="M478" s="178"/>
      <c r="N478" s="178"/>
      <c r="O478" s="179"/>
      <c r="P478" s="227">
        <f>135837393*AC48</f>
        <v>176004510.1101</v>
      </c>
      <c r="Q478" s="408">
        <f t="shared" si="129"/>
        <v>9.3027985305931191E-2</v>
      </c>
      <c r="R478" s="256">
        <f>+F478+I478</f>
        <v>0</v>
      </c>
      <c r="S478" s="227">
        <f>12636679*AC48</f>
        <v>16373344.980300002</v>
      </c>
      <c r="T478" s="94"/>
      <c r="U478" s="521" t="s">
        <v>143</v>
      </c>
    </row>
    <row r="479" spans="1:24" x14ac:dyDescent="0.25">
      <c r="A479" s="497" t="s">
        <v>93</v>
      </c>
      <c r="B479" s="76">
        <v>2017</v>
      </c>
      <c r="C479" s="1019"/>
      <c r="D479" s="587">
        <v>6846000</v>
      </c>
      <c r="E479" s="753"/>
      <c r="F479" s="593">
        <f t="shared" si="130"/>
        <v>0</v>
      </c>
      <c r="G479" s="727"/>
      <c r="H479" s="177"/>
      <c r="I479" s="178"/>
      <c r="J479" s="1306"/>
      <c r="K479" s="178"/>
      <c r="L479" s="178"/>
      <c r="M479" s="178"/>
      <c r="N479" s="178"/>
      <c r="O479" s="179"/>
      <c r="P479" s="227">
        <f>108839892*AC49</f>
        <v>141339483.75119999</v>
      </c>
      <c r="Q479" s="408">
        <f t="shared" si="129"/>
        <v>8.5464693404877695E-2</v>
      </c>
      <c r="R479" s="1139">
        <f>+F479+I479</f>
        <v>0</v>
      </c>
      <c r="S479" s="227">
        <f>9301968*AC49</f>
        <v>12079535.6448</v>
      </c>
      <c r="T479" s="94"/>
      <c r="U479" s="273"/>
    </row>
    <row r="480" spans="1:24" x14ac:dyDescent="0.25">
      <c r="A480" s="497"/>
      <c r="B480" s="76">
        <v>2016</v>
      </c>
      <c r="C480" s="1019"/>
      <c r="D480" s="587">
        <v>6209679</v>
      </c>
      <c r="E480" s="753"/>
      <c r="F480" s="593">
        <f t="shared" si="130"/>
        <v>0</v>
      </c>
      <c r="G480" s="727"/>
      <c r="H480" s="177"/>
      <c r="I480" s="178"/>
      <c r="J480" s="1306"/>
      <c r="K480" s="178"/>
      <c r="L480" s="178"/>
      <c r="M480" s="178"/>
      <c r="N480" s="178"/>
      <c r="O480" s="179"/>
      <c r="P480" s="227">
        <f>99653090*AC50</f>
        <v>132020413.632</v>
      </c>
      <c r="Q480" s="408">
        <f t="shared" si="129"/>
        <v>6.489408406703695E-2</v>
      </c>
      <c r="R480" s="1139"/>
      <c r="S480" s="1139">
        <f>6466896*AC50</f>
        <v>8567343.8207999989</v>
      </c>
      <c r="T480" s="94"/>
      <c r="U480" s="273"/>
    </row>
    <row r="481" spans="1:21" x14ac:dyDescent="0.25">
      <c r="A481" s="735"/>
      <c r="B481" s="76">
        <v>2015</v>
      </c>
      <c r="C481" s="284"/>
      <c r="D481" s="587">
        <v>5385238</v>
      </c>
      <c r="E481" s="753"/>
      <c r="F481" s="593">
        <f t="shared" si="130"/>
        <v>0</v>
      </c>
      <c r="G481" s="727"/>
      <c r="H481" s="177"/>
      <c r="I481" s="178"/>
      <c r="J481" s="1306"/>
      <c r="K481" s="178"/>
      <c r="L481" s="178"/>
      <c r="M481" s="178"/>
      <c r="N481" s="178"/>
      <c r="O481" s="179"/>
      <c r="P481" s="227">
        <f>70767328*AC51</f>
        <v>90490182.313600004</v>
      </c>
      <c r="Q481" s="408">
        <f t="shared" si="129"/>
        <v>0.10073531390078765</v>
      </c>
      <c r="R481" s="256">
        <f>+F481+I481</f>
        <v>0</v>
      </c>
      <c r="S481" s="227">
        <f>7128769*AC51</f>
        <v>9115556.9202999994</v>
      </c>
      <c r="T481" s="94"/>
      <c r="U481" s="273"/>
    </row>
    <row r="482" spans="1:21" ht="15.75" thickBot="1" x14ac:dyDescent="0.3">
      <c r="A482" s="176"/>
      <c r="B482" s="77">
        <v>2014</v>
      </c>
      <c r="C482" s="285"/>
      <c r="D482" s="588">
        <v>5774311</v>
      </c>
      <c r="E482" s="1185"/>
      <c r="F482" s="595">
        <f t="shared" si="130"/>
        <v>0</v>
      </c>
      <c r="G482" s="736"/>
      <c r="H482" s="180"/>
      <c r="I482" s="181"/>
      <c r="J482" s="181"/>
      <c r="K482" s="181"/>
      <c r="L482" s="181"/>
      <c r="M482" s="181"/>
      <c r="N482" s="181"/>
      <c r="O482" s="185"/>
      <c r="P482" s="228">
        <f>123272835*AC52</f>
        <v>136956119.685</v>
      </c>
      <c r="Q482" s="1140">
        <f t="shared" si="129"/>
        <v>5.5933353037593399E-2</v>
      </c>
      <c r="R482" s="257">
        <f>+F482+I482</f>
        <v>0</v>
      </c>
      <c r="S482" s="228">
        <f>6895063*AC52</f>
        <v>7660414.9929999998</v>
      </c>
      <c r="T482" s="95"/>
      <c r="U482" s="273"/>
    </row>
    <row r="483" spans="1:21" ht="15.75" thickBot="1" x14ac:dyDescent="0.3">
      <c r="D483" s="75"/>
      <c r="F483" s="75"/>
      <c r="P483" s="514">
        <f>SUM(P474:P482)</f>
        <v>1209740149.7737</v>
      </c>
      <c r="R483" s="229"/>
      <c r="S483" s="514">
        <f>SUM(S474:S482)</f>
        <v>78454124.651524991</v>
      </c>
      <c r="U483" s="36"/>
    </row>
    <row r="484" spans="1:21" ht="15.75" thickBot="1" x14ac:dyDescent="0.3">
      <c r="A484" s="171"/>
      <c r="B484" s="79"/>
      <c r="C484" s="1023" t="s">
        <v>190</v>
      </c>
      <c r="D484" s="1005" t="s">
        <v>98</v>
      </c>
      <c r="E484" s="1028" t="s">
        <v>99</v>
      </c>
      <c r="F484" s="1005" t="s">
        <v>3</v>
      </c>
      <c r="G484" s="1029"/>
      <c r="H484" s="1024"/>
      <c r="I484" s="1025"/>
      <c r="J484" s="71"/>
      <c r="K484" s="50"/>
      <c r="L484" s="50"/>
      <c r="M484" s="50"/>
      <c r="N484" s="50"/>
      <c r="O484" s="69"/>
      <c r="P484" s="238" t="s">
        <v>40</v>
      </c>
      <c r="Q484" s="51" t="s">
        <v>41</v>
      </c>
      <c r="R484" s="259" t="s">
        <v>113</v>
      </c>
      <c r="S484" s="1030" t="s">
        <v>2</v>
      </c>
      <c r="T484" s="98" t="s">
        <v>42</v>
      </c>
      <c r="U484" s="36"/>
    </row>
    <row r="485" spans="1:21" x14ac:dyDescent="0.25">
      <c r="A485" s="172"/>
      <c r="B485" s="1408">
        <v>2023</v>
      </c>
      <c r="C485" s="707"/>
      <c r="D485" s="646">
        <v>1182045</v>
      </c>
      <c r="E485" s="818">
        <f>+AM$126</f>
        <v>162.91666666666666</v>
      </c>
      <c r="F485" s="593">
        <f>+D485*E485</f>
        <v>192574831.25</v>
      </c>
      <c r="G485" s="1297"/>
      <c r="H485" s="1137"/>
      <c r="I485" s="1138"/>
      <c r="J485" s="362"/>
      <c r="K485" s="1137"/>
      <c r="L485" s="1137"/>
      <c r="M485" s="1137"/>
      <c r="N485" s="1137"/>
      <c r="O485" s="1138"/>
      <c r="P485" s="871">
        <f>4150194*AC43</f>
        <v>5601516.8417999996</v>
      </c>
      <c r="Q485" s="359">
        <f>+S485/P485</f>
        <v>1.0000014457155496E-2</v>
      </c>
      <c r="R485" s="256">
        <f>+F485+I485</f>
        <v>192574831.25</v>
      </c>
      <c r="S485" s="1471">
        <f>41502*AC43</f>
        <v>56015.249399999993</v>
      </c>
      <c r="T485" s="452">
        <f>+S485/R485</f>
        <v>2.9087523554561075E-4</v>
      </c>
      <c r="U485" s="273"/>
    </row>
    <row r="486" spans="1:21" x14ac:dyDescent="0.25">
      <c r="A486" s="172"/>
      <c r="B486" s="35">
        <v>2022</v>
      </c>
      <c r="C486" s="414"/>
      <c r="D486" s="685">
        <v>986453</v>
      </c>
      <c r="E486" s="818">
        <f>+AL$126</f>
        <v>157.33333333333334</v>
      </c>
      <c r="F486" s="593">
        <f>+D486*E486</f>
        <v>155201938.66666669</v>
      </c>
      <c r="G486" s="274"/>
      <c r="H486" s="1309"/>
      <c r="I486" s="459"/>
      <c r="J486" s="454"/>
      <c r="K486" s="112"/>
      <c r="L486" s="112"/>
      <c r="M486" s="112"/>
      <c r="N486" s="112"/>
      <c r="O486" s="456"/>
      <c r="P486" s="463">
        <f>5105275*AC44</f>
        <v>6608267.96</v>
      </c>
      <c r="Q486" s="359">
        <f>+S486/P486</f>
        <v>1.0000048968958578E-2</v>
      </c>
      <c r="R486" s="256">
        <f>+F486+I486</f>
        <v>155201938.66666669</v>
      </c>
      <c r="S486" s="463">
        <f>51053*AC44</f>
        <v>66083.003200000006</v>
      </c>
      <c r="T486" s="452">
        <f>+S486/R486</f>
        <v>4.2578722770937209E-4</v>
      </c>
      <c r="U486" s="273"/>
    </row>
    <row r="487" spans="1:21" x14ac:dyDescent="0.25">
      <c r="A487" s="172"/>
      <c r="B487" s="284">
        <v>2021</v>
      </c>
      <c r="C487" s="422"/>
      <c r="D487" s="685">
        <v>1136376</v>
      </c>
      <c r="E487" s="818">
        <f>+AK$126</f>
        <v>202.41666666666666</v>
      </c>
      <c r="F487" s="593">
        <f>+D487*E487</f>
        <v>230021442</v>
      </c>
      <c r="G487" s="986"/>
      <c r="H487" s="371"/>
      <c r="I487" s="371"/>
      <c r="J487" s="317"/>
      <c r="K487" s="317"/>
      <c r="L487" s="317"/>
      <c r="M487" s="317"/>
      <c r="N487" s="317"/>
      <c r="O487" s="403"/>
      <c r="P487" s="520">
        <f>5544762*AC45</f>
        <v>7411544.7463499987</v>
      </c>
      <c r="Q487" s="91">
        <f>+S487/P487</f>
        <v>1.0000068533148944E-2</v>
      </c>
      <c r="R487" s="256">
        <f>+F487+I487</f>
        <v>230021442</v>
      </c>
      <c r="S487" s="520">
        <f>55448*AC45</f>
        <v>74115.955399999992</v>
      </c>
      <c r="T487" s="94">
        <f>+S487/R487</f>
        <v>3.222132456677669E-4</v>
      </c>
      <c r="U487" s="273"/>
    </row>
    <row r="488" spans="1:21" x14ac:dyDescent="0.25">
      <c r="A488" s="172"/>
      <c r="B488" s="284">
        <v>2020</v>
      </c>
      <c r="C488" s="422"/>
      <c r="D488" s="685">
        <v>1046321</v>
      </c>
      <c r="E488" s="818">
        <f>+AJ$126</f>
        <v>145.41666666666666</v>
      </c>
      <c r="F488" s="593">
        <f>+D488*E488</f>
        <v>152152512.08333331</v>
      </c>
      <c r="G488" s="986"/>
      <c r="H488" s="371"/>
      <c r="I488" s="371"/>
      <c r="J488" s="317"/>
      <c r="K488" s="317"/>
      <c r="L488" s="317"/>
      <c r="M488" s="317"/>
      <c r="N488" s="317"/>
      <c r="O488" s="403"/>
      <c r="P488" s="520">
        <f>3512027*AC46</f>
        <v>4711384.2204999998</v>
      </c>
      <c r="Q488" s="91">
        <f>+S488/P488</f>
        <v>9.9999231213199671E-3</v>
      </c>
      <c r="R488" s="256">
        <f>+F488+I488</f>
        <v>152152512.08333331</v>
      </c>
      <c r="S488" s="520">
        <f>35120*AC46</f>
        <v>47113.479999999996</v>
      </c>
      <c r="T488" s="94">
        <f>+S488/R488</f>
        <v>3.0964641565823202E-4</v>
      </c>
      <c r="U488" s="273"/>
    </row>
    <row r="489" spans="1:21" x14ac:dyDescent="0.25">
      <c r="A489" s="172"/>
      <c r="B489" s="284">
        <v>2019</v>
      </c>
      <c r="C489" s="422"/>
      <c r="D489" s="635"/>
      <c r="E489" s="818">
        <f>+AI$126</f>
        <v>124.41666666666667</v>
      </c>
      <c r="F489" s="635"/>
      <c r="G489" s="986"/>
      <c r="H489" s="371"/>
      <c r="I489" s="371"/>
      <c r="J489" s="317"/>
      <c r="K489" s="317"/>
      <c r="L489" s="317"/>
      <c r="M489" s="317"/>
      <c r="N489" s="317"/>
      <c r="O489" s="403"/>
      <c r="P489" s="743"/>
      <c r="Q489" s="682"/>
      <c r="R489" s="743"/>
      <c r="S489" s="743"/>
      <c r="T489" s="1032"/>
      <c r="U489" s="273"/>
    </row>
    <row r="490" spans="1:21" x14ac:dyDescent="0.25">
      <c r="A490" s="172"/>
      <c r="B490" s="1142">
        <v>2018</v>
      </c>
      <c r="C490" s="422"/>
      <c r="D490" s="785">
        <v>1252140</v>
      </c>
      <c r="E490" s="818">
        <f>+AH$126</f>
        <v>90.416666666666671</v>
      </c>
      <c r="F490" s="593">
        <f>+D490*E490</f>
        <v>113214325</v>
      </c>
      <c r="G490" s="986"/>
      <c r="H490" s="177"/>
      <c r="I490" s="178"/>
      <c r="J490" s="178"/>
      <c r="K490" s="178"/>
      <c r="L490" s="178"/>
      <c r="M490" s="178"/>
      <c r="N490" s="178"/>
      <c r="O490" s="179"/>
      <c r="P490" s="245">
        <f>7240412*AC48</f>
        <v>9381401.8284000009</v>
      </c>
      <c r="Q490" s="91">
        <f>+S490/P490</f>
        <v>1.0001364563232038E-2</v>
      </c>
      <c r="R490" s="256">
        <f>+F490+I490</f>
        <v>113214325</v>
      </c>
      <c r="S490" s="245">
        <f>72414*AC48</f>
        <v>93826.819800000012</v>
      </c>
      <c r="T490" s="94">
        <f>+S490/R490</f>
        <v>8.2875395670998359E-4</v>
      </c>
      <c r="U490" s="273" t="s">
        <v>143</v>
      </c>
    </row>
    <row r="491" spans="1:21" x14ac:dyDescent="0.25">
      <c r="A491" s="173" t="s">
        <v>97</v>
      </c>
      <c r="B491" s="1142">
        <v>2017</v>
      </c>
      <c r="C491" s="745"/>
      <c r="D491" s="785">
        <v>1252140</v>
      </c>
      <c r="E491" s="818">
        <f>+AG$126</f>
        <v>93.166666666666671</v>
      </c>
      <c r="F491" s="593">
        <f>+D491*E491</f>
        <v>116657710</v>
      </c>
      <c r="G491" s="986"/>
      <c r="H491" s="177"/>
      <c r="I491" s="178"/>
      <c r="J491" s="178"/>
      <c r="K491" s="178"/>
      <c r="L491" s="178"/>
      <c r="M491" s="178"/>
      <c r="N491" s="178"/>
      <c r="O491" s="179"/>
      <c r="P491" s="245">
        <f>7240412*AC48</f>
        <v>9381401.8284000009</v>
      </c>
      <c r="Q491" s="91">
        <f>+S491/P491</f>
        <v>1.0001364563232038E-2</v>
      </c>
      <c r="R491" s="256">
        <f>+F491+I491</f>
        <v>116657710</v>
      </c>
      <c r="S491" s="245">
        <f>72414*AC48</f>
        <v>93826.819800000012</v>
      </c>
      <c r="T491" s="94">
        <f>+S491/R491</f>
        <v>8.0429163061747062E-4</v>
      </c>
      <c r="U491" s="273"/>
    </row>
    <row r="492" spans="1:21" x14ac:dyDescent="0.25">
      <c r="A492" s="173"/>
      <c r="B492" s="1143">
        <v>2016</v>
      </c>
      <c r="C492" s="815"/>
      <c r="D492" s="478"/>
      <c r="E492" s="705"/>
      <c r="F492" s="656">
        <f>+D492*E492</f>
        <v>0</v>
      </c>
      <c r="G492" s="654"/>
      <c r="H492" s="128"/>
      <c r="I492" s="129"/>
      <c r="J492" s="129"/>
      <c r="K492" s="129"/>
      <c r="L492" s="129"/>
      <c r="M492" s="129"/>
      <c r="N492" s="129"/>
      <c r="O492" s="130"/>
      <c r="P492" s="221"/>
      <c r="Q492" s="1035"/>
      <c r="R492" s="251"/>
      <c r="S492" s="221"/>
      <c r="T492" s="1033"/>
      <c r="U492" s="273"/>
    </row>
    <row r="493" spans="1:21" x14ac:dyDescent="0.25">
      <c r="A493" s="174"/>
      <c r="B493" s="1143">
        <v>2015</v>
      </c>
      <c r="C493" s="816"/>
      <c r="D493" s="478"/>
      <c r="E493" s="705"/>
      <c r="F493" s="656">
        <f>+D493*E493</f>
        <v>0</v>
      </c>
      <c r="G493" s="654"/>
      <c r="H493" s="128"/>
      <c r="I493" s="129"/>
      <c r="J493" s="129"/>
      <c r="K493" s="129"/>
      <c r="L493" s="129"/>
      <c r="M493" s="129"/>
      <c r="N493" s="129"/>
      <c r="O493" s="130"/>
      <c r="P493" s="221"/>
      <c r="Q493" s="1035"/>
      <c r="R493" s="251"/>
      <c r="S493" s="221"/>
      <c r="T493" s="1033"/>
      <c r="U493" s="273"/>
    </row>
    <row r="494" spans="1:21" ht="15.75" thickBot="1" x14ac:dyDescent="0.3">
      <c r="A494" s="182"/>
      <c r="B494" s="285">
        <v>2014</v>
      </c>
      <c r="C494" s="817"/>
      <c r="D494" s="648"/>
      <c r="E494" s="706"/>
      <c r="F494" s="657">
        <f>+D494*E494</f>
        <v>0</v>
      </c>
      <c r="G494" s="655"/>
      <c r="H494" s="164"/>
      <c r="I494" s="165"/>
      <c r="J494" s="165"/>
      <c r="K494" s="165"/>
      <c r="L494" s="165"/>
      <c r="M494" s="165"/>
      <c r="N494" s="165"/>
      <c r="O494" s="166"/>
      <c r="P494" s="223"/>
      <c r="Q494" s="1036"/>
      <c r="R494" s="252"/>
      <c r="S494" s="223"/>
      <c r="T494" s="1034"/>
      <c r="U494" s="273"/>
    </row>
    <row r="495" spans="1:21" ht="15.75" thickBot="1" x14ac:dyDescent="0.3">
      <c r="P495" s="158"/>
      <c r="R495" s="158"/>
      <c r="S495" s="814">
        <f>SUM(S490:S494)</f>
        <v>187653.63960000002</v>
      </c>
    </row>
    <row r="496" spans="1:21" ht="15.75" thickBot="1" x14ac:dyDescent="0.3">
      <c r="A496" s="734"/>
      <c r="B496" s="79"/>
      <c r="C496" s="1073" t="s">
        <v>108</v>
      </c>
      <c r="D496" s="1005" t="s">
        <v>101</v>
      </c>
      <c r="E496" s="1005" t="s">
        <v>96</v>
      </c>
      <c r="F496" s="1005" t="s">
        <v>3</v>
      </c>
      <c r="G496" s="1029"/>
      <c r="H496" s="1024"/>
      <c r="I496" s="1375"/>
      <c r="J496" s="50"/>
      <c r="K496" s="50"/>
      <c r="L496" s="50"/>
      <c r="M496" s="50"/>
      <c r="N496" s="50"/>
      <c r="O496" s="69"/>
      <c r="P496" s="238" t="s">
        <v>40</v>
      </c>
      <c r="Q496" s="86" t="s">
        <v>41</v>
      </c>
      <c r="R496" s="224" t="s">
        <v>113</v>
      </c>
      <c r="S496" s="224" t="s">
        <v>2</v>
      </c>
      <c r="T496" s="98" t="s">
        <v>42</v>
      </c>
    </row>
    <row r="497" spans="1:20" x14ac:dyDescent="0.25">
      <c r="A497" s="175"/>
      <c r="B497" s="80">
        <v>2023</v>
      </c>
      <c r="C497" s="692"/>
      <c r="D497" s="646">
        <v>50000</v>
      </c>
      <c r="E497" s="709"/>
      <c r="F497" s="709"/>
      <c r="G497" s="1374"/>
      <c r="H497" s="1309"/>
      <c r="I497" s="459"/>
      <c r="J497" s="45"/>
      <c r="K497" s="112"/>
      <c r="L497" s="112"/>
      <c r="M497" s="112"/>
      <c r="N497" s="112"/>
      <c r="O497" s="456"/>
      <c r="P497" s="463">
        <v>470000</v>
      </c>
      <c r="Q497" s="91">
        <f>+S497/P497</f>
        <v>5.5293617021276595E-2</v>
      </c>
      <c r="R497" s="974"/>
      <c r="S497" s="463">
        <v>25988</v>
      </c>
      <c r="T497" s="575"/>
    </row>
    <row r="498" spans="1:20" x14ac:dyDescent="0.25">
      <c r="A498" s="175"/>
      <c r="B498" s="76">
        <v>2022</v>
      </c>
      <c r="C498" s="781"/>
      <c r="D498" s="686"/>
      <c r="E498" s="686"/>
      <c r="F498" s="686"/>
      <c r="G498" s="687"/>
      <c r="H498" s="479"/>
      <c r="I498" s="788"/>
      <c r="J498" s="479"/>
      <c r="K498" s="479"/>
      <c r="L498" s="479"/>
      <c r="M498" s="479"/>
      <c r="N498" s="479"/>
      <c r="O498" s="788"/>
      <c r="P498" s="790"/>
      <c r="Q498" s="1035"/>
      <c r="R498" s="790"/>
      <c r="S498" s="790"/>
      <c r="T498" s="1376"/>
    </row>
    <row r="499" spans="1:20" x14ac:dyDescent="0.25">
      <c r="A499" s="175"/>
      <c r="B499" s="76">
        <v>2021</v>
      </c>
      <c r="C499" s="690"/>
      <c r="D499" s="685">
        <v>45000</v>
      </c>
      <c r="E499" s="635"/>
      <c r="F499" s="635"/>
      <c r="G499" s="681"/>
      <c r="H499" s="371"/>
      <c r="I499" s="371"/>
      <c r="J499" s="317"/>
      <c r="K499" s="317"/>
      <c r="L499" s="317"/>
      <c r="M499" s="317"/>
      <c r="N499" s="317"/>
      <c r="O499" s="403"/>
      <c r="P499" s="792">
        <v>128167</v>
      </c>
      <c r="Q499" s="91">
        <f>+S499/P499</f>
        <v>8.2072608393736299E-2</v>
      </c>
      <c r="R499" s="792"/>
      <c r="S499" s="792">
        <v>10519</v>
      </c>
      <c r="T499" s="575"/>
    </row>
    <row r="500" spans="1:20" x14ac:dyDescent="0.25">
      <c r="A500" s="175"/>
      <c r="B500" s="76">
        <v>2020</v>
      </c>
      <c r="C500" s="781"/>
      <c r="D500" s="686"/>
      <c r="E500" s="686"/>
      <c r="F500" s="686"/>
      <c r="G500" s="687"/>
      <c r="H500" s="479"/>
      <c r="I500" s="479"/>
      <c r="J500" s="479"/>
      <c r="K500" s="479"/>
      <c r="L500" s="479"/>
      <c r="M500" s="479"/>
      <c r="N500" s="479"/>
      <c r="O500" s="788"/>
      <c r="P500" s="790"/>
      <c r="Q500" s="686"/>
      <c r="R500" s="790"/>
      <c r="S500" s="790"/>
      <c r="T500" s="686"/>
    </row>
    <row r="501" spans="1:20" x14ac:dyDescent="0.25">
      <c r="A501" s="175"/>
      <c r="B501" s="201">
        <v>2019</v>
      </c>
      <c r="C501" s="780"/>
      <c r="D501" s="726">
        <v>67228</v>
      </c>
      <c r="E501" s="635"/>
      <c r="F501" s="682"/>
      <c r="G501" s="681"/>
      <c r="H501" s="371"/>
      <c r="I501" s="371"/>
      <c r="J501" s="371"/>
      <c r="K501" s="371"/>
      <c r="L501" s="371"/>
      <c r="M501" s="371"/>
      <c r="N501" s="371"/>
      <c r="O501" s="519"/>
      <c r="P501" s="743">
        <v>185320</v>
      </c>
      <c r="Q501" s="91">
        <f>+S501/P501</f>
        <v>3.2905244981653356E-2</v>
      </c>
      <c r="R501" s="743"/>
      <c r="S501" s="743">
        <v>6098</v>
      </c>
      <c r="T501" s="575"/>
    </row>
    <row r="502" spans="1:20" x14ac:dyDescent="0.25">
      <c r="A502" s="175"/>
      <c r="B502" s="76">
        <v>2018</v>
      </c>
      <c r="C502" s="781"/>
      <c r="D502" s="784" t="s">
        <v>115</v>
      </c>
      <c r="E502" s="784"/>
      <c r="F502" s="656" t="e">
        <f>+D502*E502</f>
        <v>#VALUE!</v>
      </c>
      <c r="G502" s="194"/>
      <c r="H502" s="355"/>
      <c r="I502" s="355"/>
      <c r="J502" s="355"/>
      <c r="K502" s="355"/>
      <c r="L502" s="355"/>
      <c r="M502" s="355"/>
      <c r="N502" s="355"/>
      <c r="O502" s="789"/>
      <c r="P502" s="251"/>
      <c r="Q502" s="784"/>
      <c r="R502" s="251"/>
      <c r="S502" s="251"/>
      <c r="T502" s="784"/>
    </row>
    <row r="503" spans="1:20" x14ac:dyDescent="0.25">
      <c r="A503" s="497" t="s">
        <v>100</v>
      </c>
      <c r="B503" s="76">
        <v>2017</v>
      </c>
      <c r="C503" s="693"/>
      <c r="D503" s="726">
        <v>50675</v>
      </c>
      <c r="E503" s="555"/>
      <c r="F503" s="593">
        <f>+D503*E503</f>
        <v>0</v>
      </c>
      <c r="G503" s="727"/>
      <c r="H503" s="177"/>
      <c r="I503" s="178"/>
      <c r="J503" s="178"/>
      <c r="K503" s="178"/>
      <c r="L503" s="178"/>
      <c r="M503" s="178"/>
      <c r="N503" s="178"/>
      <c r="O503" s="179"/>
      <c r="P503" s="227">
        <v>89324</v>
      </c>
      <c r="Q503" s="91">
        <f>+S503/P503</f>
        <v>5.040078814204469E-2</v>
      </c>
      <c r="R503" s="256">
        <f>+F503+I503</f>
        <v>0</v>
      </c>
      <c r="S503" s="227">
        <v>4502</v>
      </c>
      <c r="T503" s="575"/>
    </row>
    <row r="504" spans="1:20" x14ac:dyDescent="0.25">
      <c r="A504" s="497" t="s">
        <v>104</v>
      </c>
      <c r="B504" s="76">
        <v>2016</v>
      </c>
      <c r="C504" s="782"/>
      <c r="D504" s="785"/>
      <c r="E504" s="786"/>
      <c r="F504" s="787">
        <f>+D504*E504</f>
        <v>0</v>
      </c>
      <c r="G504" s="779"/>
      <c r="H504" s="197"/>
      <c r="I504" s="198"/>
      <c r="J504" s="198"/>
      <c r="K504" s="198"/>
      <c r="L504" s="198"/>
      <c r="M504" s="198"/>
      <c r="N504" s="198"/>
      <c r="O504" s="199"/>
      <c r="P504" s="245"/>
      <c r="Q504" s="202"/>
      <c r="R504" s="791">
        <f>+F504+I504</f>
        <v>0</v>
      </c>
      <c r="S504" s="245"/>
      <c r="T504" s="200"/>
    </row>
    <row r="505" spans="1:20" x14ac:dyDescent="0.25">
      <c r="A505" s="735"/>
      <c r="B505" s="76">
        <v>2015</v>
      </c>
      <c r="C505" s="76"/>
      <c r="D505" s="726">
        <v>129500</v>
      </c>
      <c r="E505" s="555"/>
      <c r="F505" s="593">
        <f>C504</f>
        <v>0</v>
      </c>
      <c r="G505" s="727"/>
      <c r="H505" s="177"/>
      <c r="I505" s="178"/>
      <c r="J505" s="178"/>
      <c r="K505" s="178"/>
      <c r="L505" s="178"/>
      <c r="M505" s="178"/>
      <c r="N505" s="178"/>
      <c r="O505" s="179"/>
      <c r="P505" s="227">
        <v>229024</v>
      </c>
      <c r="Q505" s="190"/>
      <c r="R505" s="256">
        <f>+F505+I505</f>
        <v>0</v>
      </c>
      <c r="S505" s="227">
        <v>10283</v>
      </c>
      <c r="T505" s="184"/>
    </row>
    <row r="506" spans="1:20" ht="15.75" thickBot="1" x14ac:dyDescent="0.3">
      <c r="A506" s="176"/>
      <c r="B506" s="77">
        <v>2014</v>
      </c>
      <c r="C506" s="783"/>
      <c r="D506" s="648"/>
      <c r="E506" s="134"/>
      <c r="F506" s="657">
        <f>+D506*E506</f>
        <v>0</v>
      </c>
      <c r="G506" s="655"/>
      <c r="H506" s="164"/>
      <c r="I506" s="165"/>
      <c r="J506" s="165"/>
      <c r="K506" s="165"/>
      <c r="L506" s="165"/>
      <c r="M506" s="165"/>
      <c r="N506" s="165"/>
      <c r="O506" s="166"/>
      <c r="P506" s="223"/>
      <c r="Q506" s="168"/>
      <c r="R506" s="252">
        <f>+F506+I506</f>
        <v>0</v>
      </c>
      <c r="S506" s="223"/>
      <c r="T506" s="167"/>
    </row>
    <row r="507" spans="1:20" ht="15.75" thickBot="1" x14ac:dyDescent="0.3">
      <c r="A507" s="14"/>
      <c r="B507" s="14"/>
      <c r="C507" s="14"/>
      <c r="D507" s="14"/>
      <c r="E507" s="14"/>
      <c r="F507" s="14"/>
      <c r="G507" s="14"/>
      <c r="H507" s="14"/>
      <c r="I507" s="14"/>
      <c r="J507" s="14"/>
      <c r="K507" s="14"/>
      <c r="L507" s="14"/>
      <c r="M507" s="14"/>
      <c r="N507" s="14"/>
      <c r="O507" s="14"/>
      <c r="P507" s="778">
        <f>SUM(P502:P506)</f>
        <v>318348</v>
      </c>
      <c r="Q507" s="14"/>
      <c r="R507" s="229"/>
      <c r="S507" s="778">
        <f>SUM(S502:S506)</f>
        <v>14785</v>
      </c>
      <c r="T507" s="14"/>
    </row>
    <row r="508" spans="1:20" x14ac:dyDescent="0.25">
      <c r="A508" s="35"/>
      <c r="B508" s="35"/>
      <c r="C508" s="271"/>
      <c r="D508" s="274"/>
      <c r="E508" s="274"/>
      <c r="F508" s="274"/>
      <c r="G508" s="274"/>
      <c r="H508" s="274"/>
      <c r="I508" s="274"/>
      <c r="J508" s="274"/>
      <c r="K508" s="274"/>
      <c r="L508" s="274"/>
      <c r="M508" s="274"/>
      <c r="N508" s="274"/>
      <c r="O508" s="274"/>
      <c r="P508" s="276"/>
      <c r="Q508" s="274"/>
      <c r="R508" s="276"/>
      <c r="S508" s="276"/>
      <c r="T508" s="274"/>
    </row>
    <row r="509" spans="1:20" x14ac:dyDescent="0.25">
      <c r="A509" s="35"/>
      <c r="B509" s="35"/>
      <c r="C509" s="271"/>
      <c r="D509" s="37"/>
      <c r="E509" s="35"/>
      <c r="F509" s="39"/>
      <c r="G509" s="35"/>
      <c r="H509" s="35"/>
      <c r="I509" s="35"/>
      <c r="J509" s="35"/>
      <c r="K509" s="35"/>
      <c r="L509" s="35"/>
      <c r="M509" s="35"/>
      <c r="N509" s="35"/>
      <c r="O509" s="35"/>
      <c r="P509" s="275"/>
      <c r="Q509" s="277"/>
      <c r="R509" s="275"/>
      <c r="S509" s="275"/>
      <c r="T509" s="278"/>
    </row>
    <row r="510" spans="1:20" x14ac:dyDescent="0.25">
      <c r="A510" s="274"/>
      <c r="B510" s="35"/>
      <c r="C510" s="279"/>
      <c r="D510" s="37"/>
      <c r="E510" s="38"/>
      <c r="F510" s="39"/>
      <c r="G510" s="37"/>
      <c r="H510" s="38"/>
      <c r="I510" s="39"/>
      <c r="J510" s="39"/>
      <c r="K510" s="39"/>
      <c r="L510" s="39"/>
      <c r="M510" s="39"/>
      <c r="N510" s="39"/>
      <c r="O510" s="39"/>
      <c r="P510" s="157"/>
      <c r="Q510" s="277"/>
      <c r="R510" s="275"/>
      <c r="S510" s="157"/>
      <c r="T510" s="278"/>
    </row>
    <row r="511" spans="1:20" x14ac:dyDescent="0.25">
      <c r="A511" s="274"/>
      <c r="B511" s="35"/>
      <c r="C511" s="279"/>
      <c r="D511" s="37"/>
      <c r="E511" s="38"/>
      <c r="F511" s="39"/>
      <c r="G511" s="37"/>
      <c r="H511" s="38"/>
      <c r="I511" s="39"/>
      <c r="J511" s="39"/>
      <c r="K511" s="39"/>
      <c r="L511" s="39"/>
      <c r="M511" s="39"/>
      <c r="N511" s="39"/>
      <c r="O511" s="39"/>
      <c r="P511" s="157"/>
      <c r="Q511" s="277"/>
      <c r="R511" s="275"/>
      <c r="S511" s="157"/>
      <c r="T511" s="278"/>
    </row>
    <row r="512" spans="1:20" x14ac:dyDescent="0.25">
      <c r="A512" s="280"/>
      <c r="B512" s="35"/>
      <c r="C512" s="35"/>
      <c r="D512" s="37"/>
      <c r="E512" s="38"/>
      <c r="F512" s="39"/>
      <c r="G512" s="37"/>
      <c r="H512" s="38"/>
      <c r="I512" s="39"/>
      <c r="J512" s="39"/>
      <c r="K512" s="39"/>
      <c r="L512" s="39"/>
      <c r="M512" s="39"/>
      <c r="N512" s="39"/>
      <c r="O512" s="39"/>
      <c r="P512" s="157"/>
      <c r="Q512" s="277"/>
      <c r="R512" s="275"/>
      <c r="S512" s="157"/>
      <c r="T512" s="278"/>
    </row>
    <row r="513" spans="1:20" x14ac:dyDescent="0.25">
      <c r="A513" s="35"/>
      <c r="B513" s="35"/>
      <c r="C513" s="35"/>
      <c r="D513" s="37"/>
      <c r="E513" s="38"/>
      <c r="F513" s="39"/>
      <c r="G513" s="37"/>
      <c r="H513" s="38"/>
      <c r="I513" s="39"/>
      <c r="J513" s="39"/>
      <c r="K513" s="39"/>
      <c r="L513" s="39"/>
      <c r="M513" s="39"/>
      <c r="N513" s="39"/>
      <c r="O513" s="39"/>
      <c r="P513" s="157"/>
      <c r="Q513" s="277"/>
      <c r="R513" s="275"/>
      <c r="S513" s="157"/>
      <c r="T513" s="278"/>
    </row>
    <row r="514" spans="1:20" x14ac:dyDescent="0.25">
      <c r="A514" s="35"/>
      <c r="B514" s="35"/>
      <c r="C514" s="35"/>
      <c r="D514" s="35"/>
      <c r="E514" s="35"/>
      <c r="F514" s="35"/>
      <c r="G514" s="35"/>
      <c r="H514" s="35"/>
      <c r="I514" s="35"/>
      <c r="J514" s="35"/>
      <c r="K514" s="35"/>
      <c r="L514" s="35"/>
      <c r="M514" s="35"/>
      <c r="N514" s="35"/>
      <c r="O514" s="35"/>
      <c r="P514" s="275"/>
      <c r="Q514" s="35"/>
      <c r="R514" s="275"/>
      <c r="S514" s="275"/>
      <c r="T514" s="35"/>
    </row>
    <row r="517" spans="1:20" x14ac:dyDescent="0.25">
      <c r="D517" s="272"/>
    </row>
    <row r="518" spans="1:20" x14ac:dyDescent="0.25">
      <c r="F518" s="205"/>
    </row>
    <row r="523" spans="1:20" x14ac:dyDescent="0.25">
      <c r="C523" s="14"/>
    </row>
  </sheetData>
  <sheetProtection algorithmName="SHA-512" hashValue="fwvg72YGBP321EbJXdLQ06Qa3WNEbXvvkCLkNytJKJp06D1xJFN054xeWI1RPw7GF1r6PXKbscG/f1kj4XQ2Xg==" saltValue="soeW0Bw6MeZhZgrK7tq17w==" spinCount="100000" sheet="1" objects="1" scenarios="1"/>
  <sortState ref="R44:V47">
    <sortCondition sortBy="cellColor" ref="U47"/>
  </sortState>
  <mergeCells count="31">
    <mergeCell ref="F47:F52"/>
    <mergeCell ref="K29:K30"/>
    <mergeCell ref="F29:F30"/>
    <mergeCell ref="H29:H30"/>
    <mergeCell ref="J29:J30"/>
    <mergeCell ref="G46:H46"/>
    <mergeCell ref="E29:E30"/>
    <mergeCell ref="I29:I30"/>
    <mergeCell ref="D29:D30"/>
    <mergeCell ref="C29:C30"/>
    <mergeCell ref="C5:G8"/>
    <mergeCell ref="C19:G19"/>
    <mergeCell ref="C20:G20"/>
    <mergeCell ref="C27:G27"/>
    <mergeCell ref="C26:G26"/>
    <mergeCell ref="A44:B44"/>
    <mergeCell ref="O30:O32"/>
    <mergeCell ref="C13:G16"/>
    <mergeCell ref="C9:G12"/>
    <mergeCell ref="C22:G22"/>
    <mergeCell ref="C23:G23"/>
    <mergeCell ref="C24:G24"/>
    <mergeCell ref="C21:G21"/>
    <mergeCell ref="D17:G17"/>
    <mergeCell ref="C25:G25"/>
    <mergeCell ref="A3:A9"/>
    <mergeCell ref="G29:G30"/>
    <mergeCell ref="C18:G18"/>
    <mergeCell ref="L29:L30"/>
    <mergeCell ref="M29:M30"/>
    <mergeCell ref="C2:F3"/>
  </mergeCells>
  <hyperlinks>
    <hyperlink ref="D17" r:id="rId1"/>
    <hyperlink ref="C22" r:id="rId2"/>
    <hyperlink ref="C23" r:id="rId3"/>
    <hyperlink ref="C24" r:id="rId4"/>
    <hyperlink ref="C25" r:id="rId5"/>
    <hyperlink ref="C27" r:id="rId6"/>
    <hyperlink ref="C21" r:id="rId7"/>
    <hyperlink ref="C20" r:id="rId8"/>
    <hyperlink ref="AC65" r:id="rId9"/>
    <hyperlink ref="AC90" r:id="rId10"/>
    <hyperlink ref="C18" r:id="rId11"/>
    <hyperlink ref="C19" r:id="rId12"/>
    <hyperlink ref="C26" r:id="rId13"/>
    <hyperlink ref="AC111" r:id="rId14"/>
    <hyperlink ref="AC162" r:id="rId15"/>
    <hyperlink ref="AC182" r:id="rId16"/>
  </hyperlinks>
  <pageMargins left="0.70866141732283472" right="0.70866141732283472" top="0.74803149606299213" bottom="0.74803149606299213" header="0.31496062992125984" footer="0.31496062992125984"/>
  <pageSetup scale="17" fitToHeight="14" orientation="landscape" horizontalDpi="0" verticalDpi="0" r:id="rId17"/>
  <drawing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C12"/>
  <sheetViews>
    <sheetView zoomScale="200" zoomScaleNormal="200" workbookViewId="0">
      <selection activeCell="D16" sqref="D16"/>
    </sheetView>
  </sheetViews>
  <sheetFormatPr baseColWidth="10" defaultRowHeight="15" x14ac:dyDescent="0.25"/>
  <cols>
    <col min="3" max="3" width="28.140625" customWidth="1"/>
    <col min="4" max="4" width="11.42578125" customWidth="1"/>
  </cols>
  <sheetData>
    <row r="1" spans="2:3" ht="15.75" thickBot="1" x14ac:dyDescent="0.3"/>
    <row r="2" spans="2:3" ht="15.75" thickBot="1" x14ac:dyDescent="0.3">
      <c r="B2" s="108"/>
      <c r="C2" s="1480" t="s">
        <v>212</v>
      </c>
    </row>
    <row r="3" spans="2:3" x14ac:dyDescent="0.25">
      <c r="B3" s="1481">
        <v>2014</v>
      </c>
      <c r="C3" s="1482">
        <v>121134901</v>
      </c>
    </row>
    <row r="4" spans="2:3" x14ac:dyDescent="0.25">
      <c r="B4" s="1481">
        <v>2015</v>
      </c>
      <c r="C4" s="1483">
        <v>97464757.166900009</v>
      </c>
    </row>
    <row r="5" spans="2:3" ht="15.75" thickBot="1" x14ac:dyDescent="0.3">
      <c r="B5" s="1481">
        <v>2016</v>
      </c>
      <c r="C5" s="1484">
        <v>105971460</v>
      </c>
    </row>
    <row r="6" spans="2:3" ht="15.75" thickBot="1" x14ac:dyDescent="0.3">
      <c r="B6" s="819">
        <v>2017</v>
      </c>
      <c r="C6" s="613">
        <v>220619028</v>
      </c>
    </row>
    <row r="7" spans="2:3" x14ac:dyDescent="0.25">
      <c r="B7" s="819">
        <v>2018</v>
      </c>
      <c r="C7" s="613">
        <v>287016811</v>
      </c>
    </row>
    <row r="8" spans="2:3" x14ac:dyDescent="0.25">
      <c r="B8" s="820">
        <v>2019</v>
      </c>
      <c r="C8" s="613">
        <v>387419082.38</v>
      </c>
    </row>
    <row r="9" spans="2:3" x14ac:dyDescent="0.25">
      <c r="B9" s="820">
        <v>2020</v>
      </c>
      <c r="C9" s="613">
        <v>631679364</v>
      </c>
    </row>
    <row r="10" spans="2:3" x14ac:dyDescent="0.25">
      <c r="B10" s="820">
        <v>2021</v>
      </c>
      <c r="C10" s="1485">
        <v>939879977</v>
      </c>
    </row>
    <row r="11" spans="2:3" x14ac:dyDescent="0.25">
      <c r="B11" s="1479">
        <v>2022</v>
      </c>
      <c r="C11" s="1486">
        <v>560943894</v>
      </c>
    </row>
    <row r="12" spans="2:3" ht="15.75" thickBot="1" x14ac:dyDescent="0.3">
      <c r="B12" s="1487">
        <v>2023</v>
      </c>
      <c r="C12" s="1488">
        <v>431190102</v>
      </c>
    </row>
  </sheetData>
  <sortState ref="B1:C10">
    <sortCondition ref="B1:B10"/>
  </sortState>
  <pageMargins left="0.7" right="0.7" top="0.75" bottom="0.75" header="0.3" footer="0.3"/>
  <pageSetup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Feuil1</vt:lpstr>
      <vt:lpstr>Feuil2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Marc</dc:creator>
  <cp:lastModifiedBy>Marc N</cp:lastModifiedBy>
  <cp:lastPrinted>2023-04-03T20:54:36Z</cp:lastPrinted>
  <dcterms:created xsi:type="dcterms:W3CDTF">2019-01-26T21:39:29Z</dcterms:created>
  <dcterms:modified xsi:type="dcterms:W3CDTF">2025-04-17T16:51:18Z</dcterms:modified>
</cp:coreProperties>
</file>